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84DD9FB2-123B-4F7F-9065-979C554EEA60}" xr6:coauthVersionLast="47" xr6:coauthVersionMax="47" xr10:uidLastSave="{00000000-0000-0000-0000-000000000000}"/>
  <workbookProtection workbookAlgorithmName="SHA-512" workbookHashValue="EmKv/Jqos+Re3lsZ6XV6IJWVkC50LjKvanrEdQBIK/yj0+3FxjBG/S1q5Hncwfl1x5QYLy0puj/dyKlctkokeA==" workbookSaltValue="fQ4ahsuPC0rCFljDKo1hfA=="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Database!$B$7:$CX$346</definedName>
    <definedName name="_xlnm._FilterDatabase" localSheetId="5" hidden="1">REP_Info!$B$5:$K$250</definedName>
    <definedName name="_xlnm._FilterDatabase" localSheetId="6" hidden="1">TDU_Info!#REF!</definedName>
    <definedName name="_xlnm._FilterDatabase" localSheetId="2" hidden="1">TOS!$B$5:$AP$214</definedName>
    <definedName name="_xlnm._FilterDatabase" localSheetId="9" hidden="1">Trends!$A$16:$BF$3534</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Database!$B$8:$CQ$346</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35" i="1" l="1"/>
  <c r="CT35" i="1"/>
  <c r="CV35" i="1" s="1"/>
  <c r="CS35" i="1"/>
  <c r="CM35" i="1"/>
  <c r="BJ35" i="1"/>
  <c r="BI35" i="1"/>
  <c r="BH35" i="1"/>
  <c r="BG35" i="1"/>
  <c r="BF35" i="1"/>
  <c r="BN35" i="1" s="1"/>
  <c r="CU34" i="1"/>
  <c r="CT34" i="1"/>
  <c r="CV34" i="1" s="1"/>
  <c r="CX34" i="1" s="1"/>
  <c r="CS34" i="1"/>
  <c r="CM34" i="1"/>
  <c r="BK34" i="1"/>
  <c r="BJ34" i="1"/>
  <c r="BI34" i="1"/>
  <c r="BH34" i="1"/>
  <c r="BG34" i="1"/>
  <c r="BF34" i="1"/>
  <c r="BN34" i="1" s="1"/>
  <c r="CU33" i="1"/>
  <c r="CT33" i="1"/>
  <c r="CV33" i="1" s="1"/>
  <c r="CS33" i="1"/>
  <c r="CM33" i="1"/>
  <c r="BN33" i="1"/>
  <c r="BJ33" i="1"/>
  <c r="BI33" i="1"/>
  <c r="BH33" i="1"/>
  <c r="BG33" i="1"/>
  <c r="BF33" i="1"/>
  <c r="BM33" i="1" s="1"/>
  <c r="CU32" i="1"/>
  <c r="CT32" i="1"/>
  <c r="CV32" i="1" s="1"/>
  <c r="CS32" i="1"/>
  <c r="CM32" i="1"/>
  <c r="BN32" i="1"/>
  <c r="BM32" i="1"/>
  <c r="BL32" i="1"/>
  <c r="BK32" i="1"/>
  <c r="BJ32" i="1"/>
  <c r="BI32" i="1"/>
  <c r="BH32" i="1"/>
  <c r="BG32" i="1"/>
  <c r="BF32" i="1"/>
  <c r="CU31" i="1"/>
  <c r="CT31" i="1"/>
  <c r="CS31" i="1"/>
  <c r="CM31" i="1"/>
  <c r="BN31" i="1"/>
  <c r="BL31" i="1"/>
  <c r="BK31" i="1"/>
  <c r="BJ31" i="1"/>
  <c r="BI31" i="1"/>
  <c r="BH31" i="1"/>
  <c r="BG31" i="1"/>
  <c r="BF31" i="1"/>
  <c r="BM31" i="1" s="1"/>
  <c r="CU30" i="1"/>
  <c r="CT30" i="1"/>
  <c r="CV30" i="1" s="1"/>
  <c r="CS30" i="1"/>
  <c r="CM30" i="1"/>
  <c r="BJ30" i="1"/>
  <c r="BI30" i="1"/>
  <c r="BH30" i="1"/>
  <c r="BG30" i="1"/>
  <c r="BF30" i="1"/>
  <c r="BN30" i="1" s="1"/>
  <c r="CU29" i="1"/>
  <c r="CT29" i="1"/>
  <c r="CV29" i="1" s="1"/>
  <c r="CS29" i="1"/>
  <c r="CM29" i="1"/>
  <c r="BJ29" i="1"/>
  <c r="BI29" i="1"/>
  <c r="BH29" i="1"/>
  <c r="BG29" i="1"/>
  <c r="BF29" i="1"/>
  <c r="BN29" i="1" s="1"/>
  <c r="CU28" i="1"/>
  <c r="CT28" i="1"/>
  <c r="CV28" i="1" s="1"/>
  <c r="CS28" i="1"/>
  <c r="CM28" i="1"/>
  <c r="BJ28" i="1"/>
  <c r="BI28" i="1"/>
  <c r="BH28" i="1"/>
  <c r="BG28" i="1"/>
  <c r="BF28" i="1"/>
  <c r="BN28" i="1" s="1"/>
  <c r="CU27" i="1"/>
  <c r="CT27" i="1"/>
  <c r="CS27" i="1"/>
  <c r="CM27" i="1"/>
  <c r="BM27" i="1"/>
  <c r="BJ27" i="1"/>
  <c r="BI27" i="1"/>
  <c r="BH27" i="1"/>
  <c r="BG27" i="1"/>
  <c r="BN27" i="1" s="1"/>
  <c r="BF27" i="1"/>
  <c r="BL27" i="1" s="1"/>
  <c r="CU26" i="1"/>
  <c r="CT26" i="1"/>
  <c r="CV26" i="1" s="1"/>
  <c r="CS26" i="1"/>
  <c r="CM26" i="1"/>
  <c r="BM26" i="1"/>
  <c r="BL26" i="1"/>
  <c r="BK26" i="1"/>
  <c r="BJ26" i="1"/>
  <c r="BI26" i="1"/>
  <c r="BH26" i="1"/>
  <c r="BG26" i="1"/>
  <c r="BF26" i="1"/>
  <c r="BN26" i="1" s="1"/>
  <c r="CU25" i="1"/>
  <c r="CT25" i="1"/>
  <c r="CV25" i="1" s="1"/>
  <c r="CS25" i="1"/>
  <c r="CM25" i="1"/>
  <c r="BJ25" i="1"/>
  <c r="BI25" i="1"/>
  <c r="BH25" i="1"/>
  <c r="BG25" i="1"/>
  <c r="BN25" i="1" s="1"/>
  <c r="BF25" i="1"/>
  <c r="BL25" i="1" s="1"/>
  <c r="CU24" i="1"/>
  <c r="CT24" i="1"/>
  <c r="CV24" i="1" s="1"/>
  <c r="CS24" i="1"/>
  <c r="CM24" i="1"/>
  <c r="BJ24" i="1"/>
  <c r="BI24" i="1"/>
  <c r="BH24" i="1"/>
  <c r="BG24" i="1"/>
  <c r="BN24" i="1" s="1"/>
  <c r="BF24" i="1"/>
  <c r="BM24" i="1" s="1"/>
  <c r="CU23" i="1"/>
  <c r="CT23" i="1"/>
  <c r="CS23" i="1"/>
  <c r="CM23" i="1"/>
  <c r="BK23" i="1"/>
  <c r="BJ23" i="1"/>
  <c r="BI23" i="1"/>
  <c r="BH23" i="1"/>
  <c r="BG23" i="1"/>
  <c r="BN23" i="1" s="1"/>
  <c r="BF23" i="1"/>
  <c r="CU22" i="1"/>
  <c r="CT22" i="1"/>
  <c r="CV22" i="1" s="1"/>
  <c r="CX22" i="1" s="1"/>
  <c r="CS22" i="1"/>
  <c r="CM22" i="1"/>
  <c r="BJ22" i="1"/>
  <c r="BI22" i="1"/>
  <c r="BH22" i="1"/>
  <c r="BG22" i="1"/>
  <c r="BF22" i="1"/>
  <c r="BN22" i="1" s="1"/>
  <c r="CU21" i="1"/>
  <c r="CT21" i="1"/>
  <c r="CS21" i="1"/>
  <c r="CM21" i="1"/>
  <c r="BN21" i="1"/>
  <c r="BM21" i="1"/>
  <c r="BL21" i="1"/>
  <c r="BK21" i="1"/>
  <c r="BJ21" i="1"/>
  <c r="BI21" i="1"/>
  <c r="BH21" i="1"/>
  <c r="BG21" i="1"/>
  <c r="BF21" i="1"/>
  <c r="CU20" i="1"/>
  <c r="CT20" i="1"/>
  <c r="CS20" i="1"/>
  <c r="CM20" i="1"/>
  <c r="BN20" i="1"/>
  <c r="BM20" i="1"/>
  <c r="BL20" i="1"/>
  <c r="BK20" i="1"/>
  <c r="BJ20" i="1"/>
  <c r="BI20" i="1"/>
  <c r="BH20" i="1"/>
  <c r="BG20" i="1"/>
  <c r="BF20" i="1"/>
  <c r="CU19" i="1"/>
  <c r="CT19" i="1"/>
  <c r="CS19" i="1"/>
  <c r="CM19" i="1"/>
  <c r="BJ19" i="1"/>
  <c r="BI19" i="1"/>
  <c r="BH19" i="1"/>
  <c r="BG19" i="1"/>
  <c r="BF19" i="1"/>
  <c r="BN19" i="1" s="1"/>
  <c r="CU18" i="1"/>
  <c r="CT18" i="1"/>
  <c r="CV18" i="1" s="1"/>
  <c r="CX18" i="1" s="1"/>
  <c r="CS18" i="1"/>
  <c r="CM18" i="1"/>
  <c r="BJ18" i="1"/>
  <c r="BI18" i="1"/>
  <c r="BH18" i="1"/>
  <c r="BG18" i="1"/>
  <c r="BN18" i="1" s="1"/>
  <c r="BF18" i="1"/>
  <c r="BM18" i="1" s="1"/>
  <c r="CU17" i="1"/>
  <c r="CT17" i="1"/>
  <c r="CV17" i="1" s="1"/>
  <c r="CS17" i="1"/>
  <c r="CM17" i="1"/>
  <c r="BK17" i="1"/>
  <c r="BJ17" i="1"/>
  <c r="BI17" i="1"/>
  <c r="BH17" i="1"/>
  <c r="BG17" i="1"/>
  <c r="BF17" i="1"/>
  <c r="BN17" i="1" s="1"/>
  <c r="CU16" i="1"/>
  <c r="CT16" i="1"/>
  <c r="CV16" i="1" s="1"/>
  <c r="CS16" i="1"/>
  <c r="CM16" i="1"/>
  <c r="BN16" i="1"/>
  <c r="BJ16" i="1"/>
  <c r="BI16" i="1"/>
  <c r="BH16" i="1"/>
  <c r="BG16" i="1"/>
  <c r="BF16" i="1"/>
  <c r="BM16" i="1" s="1"/>
  <c r="CU15" i="1"/>
  <c r="CT15" i="1"/>
  <c r="CV15" i="1" s="1"/>
  <c r="CS15" i="1"/>
  <c r="CM15" i="1"/>
  <c r="BN15" i="1"/>
  <c r="BL15" i="1"/>
  <c r="BK15" i="1"/>
  <c r="BJ15" i="1"/>
  <c r="BI15" i="1"/>
  <c r="BH15" i="1"/>
  <c r="BG15" i="1"/>
  <c r="BF15" i="1"/>
  <c r="BM15" i="1" s="1"/>
  <c r="CV14" i="1"/>
  <c r="CU14" i="1"/>
  <c r="CT14" i="1"/>
  <c r="CS14" i="1"/>
  <c r="CM14" i="1"/>
  <c r="BL14" i="1"/>
  <c r="BK14" i="1"/>
  <c r="BJ14" i="1"/>
  <c r="BI14" i="1"/>
  <c r="BH14" i="1"/>
  <c r="BG14" i="1"/>
  <c r="BF14" i="1"/>
  <c r="BN14" i="1" s="1"/>
  <c r="CU13" i="1"/>
  <c r="CT13" i="1"/>
  <c r="CV13" i="1" s="1"/>
  <c r="CS13" i="1"/>
  <c r="CM13" i="1"/>
  <c r="BJ13" i="1"/>
  <c r="BI13" i="1"/>
  <c r="BH13" i="1"/>
  <c r="BG13" i="1"/>
  <c r="BF13" i="1"/>
  <c r="BN13" i="1" s="1"/>
  <c r="CU12" i="1"/>
  <c r="CT12" i="1"/>
  <c r="CS12" i="1"/>
  <c r="CM12" i="1"/>
  <c r="BJ12" i="1"/>
  <c r="BI12" i="1"/>
  <c r="BH12" i="1"/>
  <c r="BG12" i="1"/>
  <c r="BF12" i="1"/>
  <c r="BN12" i="1" s="1"/>
  <c r="CU11" i="1"/>
  <c r="CT11" i="1"/>
  <c r="CS11" i="1"/>
  <c r="CM11" i="1"/>
  <c r="BK11" i="1"/>
  <c r="BJ11" i="1"/>
  <c r="BI11" i="1"/>
  <c r="BH11" i="1"/>
  <c r="BG11" i="1"/>
  <c r="BF11" i="1"/>
  <c r="BN11" i="1" s="1"/>
  <c r="CU10" i="1"/>
  <c r="CT10" i="1"/>
  <c r="CS10" i="1"/>
  <c r="CM10" i="1"/>
  <c r="BM10" i="1"/>
  <c r="BJ10" i="1"/>
  <c r="BI10" i="1"/>
  <c r="BH10" i="1"/>
  <c r="BG10" i="1"/>
  <c r="BN10" i="1" s="1"/>
  <c r="BF10" i="1"/>
  <c r="BL10" i="1" s="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T3455" i="31" a="1"/>
  <c r="T3455" i="31" s="1"/>
  <c r="B3455" i="31"/>
  <c r="AL3455" i="31" s="1"/>
  <c r="BJ34" i="10"/>
  <c r="CU38" i="1"/>
  <c r="CT38" i="1"/>
  <c r="CS38" i="1"/>
  <c r="CM38" i="1"/>
  <c r="BJ38" i="1"/>
  <c r="BH38" i="1"/>
  <c r="CU37" i="1"/>
  <c r="CT37" i="1"/>
  <c r="CS37" i="1"/>
  <c r="CM37" i="1"/>
  <c r="BJ37" i="1"/>
  <c r="BH37" i="1"/>
  <c r="CU36" i="1"/>
  <c r="CT36" i="1"/>
  <c r="CS36" i="1"/>
  <c r="CM36" i="1"/>
  <c r="BJ36" i="1"/>
  <c r="BH36" i="1"/>
  <c r="CU40" i="1"/>
  <c r="CT40" i="1"/>
  <c r="CS40" i="1"/>
  <c r="CM40" i="1"/>
  <c r="BJ40" i="1"/>
  <c r="BH40" i="1"/>
  <c r="CU39" i="1"/>
  <c r="CT39" i="1"/>
  <c r="CS39" i="1"/>
  <c r="CM39" i="1"/>
  <c r="BJ39" i="1"/>
  <c r="BH39" i="1"/>
  <c r="CU42" i="1"/>
  <c r="CT42" i="1"/>
  <c r="CS42" i="1"/>
  <c r="CM42" i="1"/>
  <c r="BJ42" i="1"/>
  <c r="BH42" i="1"/>
  <c r="CU41" i="1"/>
  <c r="CT41" i="1"/>
  <c r="CS41" i="1"/>
  <c r="CM41" i="1"/>
  <c r="BJ41" i="1"/>
  <c r="BH41"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82" i="1"/>
  <c r="CT182" i="1"/>
  <c r="CS182" i="1"/>
  <c r="CM182" i="1"/>
  <c r="BJ182" i="1"/>
  <c r="BH182" i="1"/>
  <c r="CU181" i="1"/>
  <c r="CT181" i="1"/>
  <c r="CS181" i="1"/>
  <c r="CM181" i="1"/>
  <c r="BJ181" i="1"/>
  <c r="BH181"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8" i="1"/>
  <c r="CT188" i="1"/>
  <c r="CS188" i="1"/>
  <c r="CM188" i="1"/>
  <c r="BJ188" i="1"/>
  <c r="BH188" i="1"/>
  <c r="CU187" i="1"/>
  <c r="CT187" i="1"/>
  <c r="CS187" i="1"/>
  <c r="CM187" i="1"/>
  <c r="BJ187" i="1"/>
  <c r="BH187"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12" i="1"/>
  <c r="CT212" i="1"/>
  <c r="CS212" i="1"/>
  <c r="CM212" i="1"/>
  <c r="BJ212" i="1"/>
  <c r="BH212" i="1"/>
  <c r="CU211" i="1"/>
  <c r="CT211" i="1"/>
  <c r="CS211" i="1"/>
  <c r="CM211" i="1"/>
  <c r="BJ211" i="1"/>
  <c r="BH211"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3" i="1"/>
  <c r="CT213" i="1"/>
  <c r="CS213" i="1"/>
  <c r="CM213" i="1"/>
  <c r="BJ213" i="1"/>
  <c r="BH213" i="1"/>
  <c r="CU214" i="1"/>
  <c r="CT214" i="1"/>
  <c r="CS214" i="1"/>
  <c r="CM214" i="1"/>
  <c r="BJ214" i="1"/>
  <c r="BH214" i="1"/>
  <c r="CU216" i="1"/>
  <c r="CT216" i="1"/>
  <c r="CS216" i="1"/>
  <c r="CM216" i="1"/>
  <c r="BJ216" i="1"/>
  <c r="BH216" i="1"/>
  <c r="CU215" i="1"/>
  <c r="CT215" i="1"/>
  <c r="CS215" i="1"/>
  <c r="CM215" i="1"/>
  <c r="BJ215" i="1"/>
  <c r="BH215" i="1"/>
  <c r="CU217" i="1"/>
  <c r="CT217" i="1"/>
  <c r="CS217" i="1"/>
  <c r="CM217" i="1"/>
  <c r="BJ217" i="1"/>
  <c r="BH217" i="1"/>
  <c r="CU218" i="1"/>
  <c r="CT218" i="1"/>
  <c r="CS218" i="1"/>
  <c r="CM218" i="1"/>
  <c r="BJ218" i="1"/>
  <c r="BH218" i="1"/>
  <c r="CU221" i="1"/>
  <c r="CT221" i="1"/>
  <c r="CS221" i="1"/>
  <c r="CM221" i="1"/>
  <c r="BJ221" i="1"/>
  <c r="BH221" i="1"/>
  <c r="CU220" i="1"/>
  <c r="CT220" i="1"/>
  <c r="CS220" i="1"/>
  <c r="CM220" i="1"/>
  <c r="BJ220" i="1"/>
  <c r="BH220" i="1"/>
  <c r="CU219" i="1"/>
  <c r="CT219" i="1"/>
  <c r="CS219" i="1"/>
  <c r="CM219" i="1"/>
  <c r="BJ219" i="1"/>
  <c r="BH219" i="1"/>
  <c r="CU222" i="1"/>
  <c r="CT222" i="1"/>
  <c r="CS222" i="1"/>
  <c r="CM222" i="1"/>
  <c r="BJ222" i="1"/>
  <c r="BH222"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3" i="1"/>
  <c r="CT282" i="1"/>
  <c r="CT281" i="1"/>
  <c r="CT280" i="1"/>
  <c r="CT279" i="1"/>
  <c r="CT278" i="1"/>
  <c r="CT277" i="1"/>
  <c r="CT276" i="1"/>
  <c r="CT275" i="1"/>
  <c r="CT274" i="1"/>
  <c r="CT273" i="1"/>
  <c r="CT272" i="1"/>
  <c r="CT271" i="1"/>
  <c r="CT270" i="1"/>
  <c r="CT269" i="1"/>
  <c r="CT268" i="1"/>
  <c r="CT267" i="1"/>
  <c r="CT266" i="1"/>
  <c r="CT265" i="1"/>
  <c r="CT264" i="1"/>
  <c r="CT263" i="1"/>
  <c r="CT262" i="1"/>
  <c r="CT9" i="1"/>
  <c r="CT8" i="1"/>
  <c r="CT284" i="1"/>
  <c r="BJ287" i="1"/>
  <c r="CU264" i="1"/>
  <c r="CS264" i="1"/>
  <c r="CM264" i="1"/>
  <c r="BJ264" i="1"/>
  <c r="BH264" i="1"/>
  <c r="CU263" i="1"/>
  <c r="CS263" i="1"/>
  <c r="CM263" i="1"/>
  <c r="BJ263" i="1"/>
  <c r="BH263" i="1"/>
  <c r="CU262" i="1"/>
  <c r="CS262" i="1"/>
  <c r="CM262" i="1"/>
  <c r="BJ262" i="1"/>
  <c r="BH262" i="1"/>
  <c r="CU266" i="1"/>
  <c r="CS266" i="1"/>
  <c r="CM266" i="1"/>
  <c r="BJ266" i="1"/>
  <c r="BH266" i="1"/>
  <c r="CU265" i="1"/>
  <c r="CS265" i="1"/>
  <c r="CM265" i="1"/>
  <c r="BJ265" i="1"/>
  <c r="BH265" i="1"/>
  <c r="CU268" i="1"/>
  <c r="CS268" i="1"/>
  <c r="CM268" i="1"/>
  <c r="BJ268" i="1"/>
  <c r="BH268" i="1"/>
  <c r="CU267" i="1"/>
  <c r="CS267" i="1"/>
  <c r="CM267" i="1"/>
  <c r="BJ267" i="1"/>
  <c r="BH267" i="1"/>
  <c r="CU276" i="1"/>
  <c r="CS276" i="1"/>
  <c r="CM276" i="1"/>
  <c r="BJ276" i="1"/>
  <c r="BH276" i="1"/>
  <c r="CU275" i="1"/>
  <c r="CS275" i="1"/>
  <c r="CM275" i="1"/>
  <c r="BJ275" i="1"/>
  <c r="BH275" i="1"/>
  <c r="CU274" i="1"/>
  <c r="CS274" i="1"/>
  <c r="CM274" i="1"/>
  <c r="BJ274" i="1"/>
  <c r="BH274" i="1"/>
  <c r="CU273" i="1"/>
  <c r="CS273" i="1"/>
  <c r="CM273" i="1"/>
  <c r="BJ273" i="1"/>
  <c r="BH273" i="1"/>
  <c r="CU272" i="1"/>
  <c r="CS272" i="1"/>
  <c r="CM272" i="1"/>
  <c r="BJ272" i="1"/>
  <c r="BH272" i="1"/>
  <c r="CU271" i="1"/>
  <c r="CS271" i="1"/>
  <c r="CM271" i="1"/>
  <c r="BJ271" i="1"/>
  <c r="BH271" i="1"/>
  <c r="CU270" i="1"/>
  <c r="CS270" i="1"/>
  <c r="CM270" i="1"/>
  <c r="BJ270" i="1"/>
  <c r="BH270" i="1"/>
  <c r="CU269" i="1"/>
  <c r="CS269" i="1"/>
  <c r="CM269" i="1"/>
  <c r="BJ269" i="1"/>
  <c r="BH269"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83" i="1"/>
  <c r="CS283" i="1"/>
  <c r="CM283" i="1"/>
  <c r="BJ283" i="1"/>
  <c r="BH283"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H287" i="1"/>
  <c r="CU286" i="1"/>
  <c r="CS286" i="1"/>
  <c r="CM286" i="1"/>
  <c r="BJ286" i="1"/>
  <c r="BH286" i="1"/>
  <c r="CU285" i="1"/>
  <c r="CS285" i="1"/>
  <c r="CM285" i="1"/>
  <c r="BJ285" i="1"/>
  <c r="BH285" i="1"/>
  <c r="CU284" i="1"/>
  <c r="CS284" i="1"/>
  <c r="CM284" i="1"/>
  <c r="BJ284" i="1"/>
  <c r="BH284"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3" i="1"/>
  <c r="CS303" i="1"/>
  <c r="CM303" i="1"/>
  <c r="BJ303" i="1"/>
  <c r="BH303" i="1"/>
  <c r="CU302" i="1"/>
  <c r="CS302" i="1"/>
  <c r="CM302" i="1"/>
  <c r="BJ302" i="1"/>
  <c r="BH302"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17" i="1"/>
  <c r="CS317" i="1"/>
  <c r="CM317" i="1"/>
  <c r="BJ317" i="1"/>
  <c r="BH317" i="1"/>
  <c r="CU316" i="1"/>
  <c r="CS316" i="1"/>
  <c r="CM316" i="1"/>
  <c r="BJ316" i="1"/>
  <c r="BH316" i="1"/>
  <c r="CU315" i="1"/>
  <c r="CS315" i="1"/>
  <c r="CM315" i="1"/>
  <c r="BJ315" i="1"/>
  <c r="BH315" i="1"/>
  <c r="CU319" i="1"/>
  <c r="CS319" i="1"/>
  <c r="CM319" i="1"/>
  <c r="BJ319" i="1"/>
  <c r="BH319" i="1"/>
  <c r="CU318" i="1"/>
  <c r="CS318" i="1"/>
  <c r="CM318" i="1"/>
  <c r="BJ318" i="1"/>
  <c r="BH318" i="1"/>
  <c r="CU323" i="1"/>
  <c r="CS323" i="1"/>
  <c r="CM323" i="1"/>
  <c r="BJ323" i="1"/>
  <c r="BH323" i="1"/>
  <c r="CU322" i="1"/>
  <c r="CS322" i="1"/>
  <c r="CM322" i="1"/>
  <c r="BJ322" i="1"/>
  <c r="BH322" i="1"/>
  <c r="CU321" i="1"/>
  <c r="CS321" i="1"/>
  <c r="CM321" i="1"/>
  <c r="BJ321" i="1"/>
  <c r="BH321" i="1"/>
  <c r="CU320" i="1"/>
  <c r="CS320" i="1"/>
  <c r="CM320" i="1"/>
  <c r="BJ320" i="1"/>
  <c r="BH320" i="1"/>
  <c r="CU325" i="1"/>
  <c r="CS325" i="1"/>
  <c r="CM325" i="1"/>
  <c r="BJ325" i="1"/>
  <c r="BH325" i="1"/>
  <c r="CU324" i="1"/>
  <c r="CS324" i="1"/>
  <c r="CM324" i="1"/>
  <c r="BJ324" i="1"/>
  <c r="BH324"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34" i="1"/>
  <c r="CS334" i="1"/>
  <c r="CM334" i="1"/>
  <c r="BJ334" i="1"/>
  <c r="BH334" i="1"/>
  <c r="CU333" i="1"/>
  <c r="CS333" i="1"/>
  <c r="CM333" i="1"/>
  <c r="BJ333" i="1"/>
  <c r="BH333" i="1"/>
  <c r="CU336" i="1"/>
  <c r="CS336" i="1"/>
  <c r="CM336" i="1"/>
  <c r="BJ336" i="1"/>
  <c r="BH336" i="1"/>
  <c r="CU335" i="1"/>
  <c r="CS335" i="1"/>
  <c r="CM335" i="1"/>
  <c r="BJ335" i="1"/>
  <c r="BH335" i="1"/>
  <c r="CU338" i="1"/>
  <c r="CS338" i="1"/>
  <c r="CM338" i="1"/>
  <c r="BJ338" i="1"/>
  <c r="BH338" i="1"/>
  <c r="CU337" i="1"/>
  <c r="CS337" i="1"/>
  <c r="CM337" i="1"/>
  <c r="BJ337" i="1"/>
  <c r="BH337" i="1"/>
  <c r="CU339" i="1"/>
  <c r="CS339" i="1"/>
  <c r="CM339" i="1"/>
  <c r="BJ339" i="1"/>
  <c r="BH339" i="1"/>
  <c r="CU346" i="1"/>
  <c r="CS346" i="1"/>
  <c r="CM346" i="1"/>
  <c r="BJ346" i="1"/>
  <c r="BH346"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CU340" i="1"/>
  <c r="CS340" i="1"/>
  <c r="CM340" i="1"/>
  <c r="BJ340" i="1"/>
  <c r="BH340"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0" i="1" l="1"/>
  <c r="BM14" i="1"/>
  <c r="CX16" i="1"/>
  <c r="BK25" i="1"/>
  <c r="CX10" i="1"/>
  <c r="BK13" i="1"/>
  <c r="BK19" i="1"/>
  <c r="CV21" i="1"/>
  <c r="BK30" i="1"/>
  <c r="BL13" i="1"/>
  <c r="BL19" i="1"/>
  <c r="BM25" i="1"/>
  <c r="BL30" i="1"/>
  <c r="BM13" i="1"/>
  <c r="BK18" i="1"/>
  <c r="BM19" i="1"/>
  <c r="BK24" i="1"/>
  <c r="BM30" i="1"/>
  <c r="BK12" i="1"/>
  <c r="BL18" i="1"/>
  <c r="CV20" i="1"/>
  <c r="BL24" i="1"/>
  <c r="CX26" i="1"/>
  <c r="BK29" i="1"/>
  <c r="BK35" i="1"/>
  <c r="BL12" i="1"/>
  <c r="CX14" i="1"/>
  <c r="BL29" i="1"/>
  <c r="CV31" i="1"/>
  <c r="BL35" i="1"/>
  <c r="BM12" i="1"/>
  <c r="BM29" i="1"/>
  <c r="BM35" i="1"/>
  <c r="BL17" i="1"/>
  <c r="BL23" i="1"/>
  <c r="BK28" i="1"/>
  <c r="BL34" i="1"/>
  <c r="BL11" i="1"/>
  <c r="BM17" i="1"/>
  <c r="BK22" i="1"/>
  <c r="BM23" i="1"/>
  <c r="BL28" i="1"/>
  <c r="CX30" i="1"/>
  <c r="BM34" i="1"/>
  <c r="BM11" i="1"/>
  <c r="BK16" i="1"/>
  <c r="BL22" i="1"/>
  <c r="BM28" i="1"/>
  <c r="BK33" i="1"/>
  <c r="BK10" i="1"/>
  <c r="CV12" i="1"/>
  <c r="BL16" i="1"/>
  <c r="BM22" i="1"/>
  <c r="BK27" i="1"/>
  <c r="BL33" i="1"/>
  <c r="CX17" i="1"/>
  <c r="CX33" i="1"/>
  <c r="CX15" i="1"/>
  <c r="CX21" i="1"/>
  <c r="CX32" i="1"/>
  <c r="CX20" i="1"/>
  <c r="CX28" i="1"/>
  <c r="CX31" i="1"/>
  <c r="CX25" i="1"/>
  <c r="CX13" i="1"/>
  <c r="CX24" i="1"/>
  <c r="CX12" i="1"/>
  <c r="CX29" i="1"/>
  <c r="CX35" i="1"/>
  <c r="CV23" i="1"/>
  <c r="CX23" i="1" s="1"/>
  <c r="CV11" i="1"/>
  <c r="CV27" i="1"/>
  <c r="CV19" i="1"/>
  <c r="AU3455" i="31"/>
  <c r="AT3455" i="31" s="1"/>
  <c r="B3456" i="31"/>
  <c r="CV37" i="1"/>
  <c r="CX37" i="1" s="1"/>
  <c r="CV38" i="1"/>
  <c r="CX38" i="1" s="1"/>
  <c r="CV36" i="1"/>
  <c r="CX36" i="1" s="1"/>
  <c r="CV40" i="1"/>
  <c r="CX40" i="1" s="1"/>
  <c r="CV39" i="1"/>
  <c r="CX39" i="1" s="1"/>
  <c r="CV41" i="1"/>
  <c r="CX41" i="1" s="1"/>
  <c r="CV42" i="1"/>
  <c r="CX42" i="1" s="1"/>
  <c r="CV46" i="1"/>
  <c r="CX46" i="1" s="1"/>
  <c r="CV43" i="1"/>
  <c r="CX43" i="1" s="1"/>
  <c r="CV47" i="1"/>
  <c r="CX47" i="1" s="1"/>
  <c r="CV53" i="1"/>
  <c r="CX53" i="1" s="1"/>
  <c r="CV44" i="1"/>
  <c r="CX44" i="1" s="1"/>
  <c r="CV52" i="1"/>
  <c r="CX52" i="1" s="1"/>
  <c r="CV50" i="1"/>
  <c r="CX50" i="1" s="1"/>
  <c r="CV45" i="1"/>
  <c r="CX45" i="1" s="1"/>
  <c r="CV48" i="1"/>
  <c r="CX48" i="1" s="1"/>
  <c r="CV49" i="1"/>
  <c r="CX49" i="1" s="1"/>
  <c r="CV51" i="1"/>
  <c r="CX51" i="1" s="1"/>
  <c r="CV54" i="1"/>
  <c r="CX54" i="1" s="1"/>
  <c r="CV62" i="1"/>
  <c r="CX62" i="1" s="1"/>
  <c r="CV58" i="1"/>
  <c r="CX58" i="1" s="1"/>
  <c r="CV66" i="1"/>
  <c r="CX66" i="1" s="1"/>
  <c r="CV57" i="1"/>
  <c r="CX57" i="1" s="1"/>
  <c r="CV65" i="1"/>
  <c r="CX65" i="1" s="1"/>
  <c r="CV73" i="1"/>
  <c r="CX73" i="1" s="1"/>
  <c r="CV81" i="1"/>
  <c r="CX81" i="1" s="1"/>
  <c r="CV92" i="1"/>
  <c r="CX92" i="1" s="1"/>
  <c r="CV100" i="1"/>
  <c r="CX100" i="1" s="1"/>
  <c r="CV108" i="1"/>
  <c r="CX108" i="1" s="1"/>
  <c r="CV140" i="1"/>
  <c r="CX140" i="1" s="1"/>
  <c r="CV148" i="1"/>
  <c r="CX148" i="1" s="1"/>
  <c r="CV60" i="1"/>
  <c r="CX60" i="1" s="1"/>
  <c r="CV68" i="1"/>
  <c r="CX68" i="1" s="1"/>
  <c r="CV76" i="1"/>
  <c r="CX76" i="1" s="1"/>
  <c r="CV127" i="1"/>
  <c r="CX127" i="1" s="1"/>
  <c r="CV135" i="1"/>
  <c r="CX135" i="1" s="1"/>
  <c r="CV55" i="1"/>
  <c r="CX55" i="1" s="1"/>
  <c r="CV63" i="1"/>
  <c r="CX63" i="1" s="1"/>
  <c r="CV79" i="1"/>
  <c r="CX79" i="1" s="1"/>
  <c r="CV87" i="1"/>
  <c r="CX87" i="1" s="1"/>
  <c r="CV146" i="1"/>
  <c r="CX146" i="1" s="1"/>
  <c r="CV82" i="1"/>
  <c r="CX82" i="1" s="1"/>
  <c r="CV93" i="1"/>
  <c r="CX93" i="1" s="1"/>
  <c r="CV109" i="1"/>
  <c r="CX109" i="1" s="1"/>
  <c r="CV125" i="1"/>
  <c r="CX125" i="1" s="1"/>
  <c r="CV133" i="1"/>
  <c r="CX133" i="1" s="1"/>
  <c r="CV141" i="1"/>
  <c r="CX141" i="1" s="1"/>
  <c r="CV69" i="1"/>
  <c r="CX69" i="1" s="1"/>
  <c r="CV77" i="1"/>
  <c r="CX77" i="1" s="1"/>
  <c r="CV85" i="1"/>
  <c r="CX85" i="1" s="1"/>
  <c r="CV99" i="1"/>
  <c r="CX99" i="1" s="1"/>
  <c r="CV107" i="1"/>
  <c r="CX107" i="1" s="1"/>
  <c r="CV115" i="1"/>
  <c r="CX115" i="1" s="1"/>
  <c r="CV131" i="1"/>
  <c r="CX131" i="1" s="1"/>
  <c r="CV147" i="1"/>
  <c r="CX147" i="1" s="1"/>
  <c r="CV59" i="1"/>
  <c r="CX59" i="1" s="1"/>
  <c r="CV75" i="1"/>
  <c r="CX75" i="1" s="1"/>
  <c r="CV83" i="1"/>
  <c r="CX83" i="1" s="1"/>
  <c r="CV126" i="1"/>
  <c r="CX126" i="1" s="1"/>
  <c r="CV134" i="1"/>
  <c r="CX134" i="1" s="1"/>
  <c r="CV142" i="1"/>
  <c r="CX142" i="1" s="1"/>
  <c r="CV70" i="1"/>
  <c r="CX70" i="1" s="1"/>
  <c r="CV86" i="1"/>
  <c r="CX86" i="1" s="1"/>
  <c r="CV112" i="1"/>
  <c r="CX112" i="1" s="1"/>
  <c r="CV128" i="1"/>
  <c r="CX128" i="1" s="1"/>
  <c r="CV136" i="1"/>
  <c r="CX136" i="1" s="1"/>
  <c r="CV144" i="1"/>
  <c r="CX144" i="1" s="1"/>
  <c r="CV64" i="1"/>
  <c r="CX64" i="1" s="1"/>
  <c r="CV72" i="1"/>
  <c r="CX72" i="1" s="1"/>
  <c r="CV80" i="1"/>
  <c r="CX80" i="1" s="1"/>
  <c r="CV88" i="1"/>
  <c r="CX88" i="1" s="1"/>
  <c r="CV94" i="1"/>
  <c r="CX94" i="1" s="1"/>
  <c r="CV102" i="1"/>
  <c r="CX102" i="1" s="1"/>
  <c r="CV110" i="1"/>
  <c r="CX110" i="1" s="1"/>
  <c r="CV118" i="1"/>
  <c r="CX118" i="1" s="1"/>
  <c r="CV97" i="1"/>
  <c r="CX97" i="1" s="1"/>
  <c r="CV113" i="1"/>
  <c r="CX113" i="1" s="1"/>
  <c r="CV121" i="1"/>
  <c r="CX121" i="1" s="1"/>
  <c r="CV129" i="1"/>
  <c r="CX129" i="1" s="1"/>
  <c r="CV137" i="1"/>
  <c r="CX137" i="1" s="1"/>
  <c r="CV95" i="1"/>
  <c r="CX95" i="1" s="1"/>
  <c r="CV111" i="1"/>
  <c r="CX111" i="1" s="1"/>
  <c r="CV90" i="1"/>
  <c r="CX90" i="1" s="1"/>
  <c r="CV98" i="1"/>
  <c r="CX98" i="1" s="1"/>
  <c r="CV106" i="1"/>
  <c r="CX106" i="1" s="1"/>
  <c r="CV122" i="1"/>
  <c r="CX122" i="1" s="1"/>
  <c r="CV130" i="1"/>
  <c r="CX130" i="1" s="1"/>
  <c r="CV67" i="1"/>
  <c r="CX67" i="1" s="1"/>
  <c r="CV105" i="1"/>
  <c r="CX105" i="1" s="1"/>
  <c r="CV84" i="1"/>
  <c r="CX84" i="1" s="1"/>
  <c r="CV78" i="1"/>
  <c r="CX78" i="1" s="1"/>
  <c r="CV71" i="1"/>
  <c r="CX71" i="1" s="1"/>
  <c r="CV124" i="1"/>
  <c r="CX124" i="1" s="1"/>
  <c r="CV120" i="1"/>
  <c r="CX120" i="1" s="1"/>
  <c r="CV104" i="1"/>
  <c r="CX104" i="1" s="1"/>
  <c r="CV143" i="1"/>
  <c r="CX143" i="1" s="1"/>
  <c r="CV138" i="1"/>
  <c r="CX138" i="1" s="1"/>
  <c r="CV114" i="1"/>
  <c r="CX114" i="1" s="1"/>
  <c r="CV61" i="1"/>
  <c r="CX61" i="1" s="1"/>
  <c r="CV123" i="1"/>
  <c r="CX123" i="1" s="1"/>
  <c r="CV74" i="1"/>
  <c r="CX74" i="1" s="1"/>
  <c r="CV56" i="1"/>
  <c r="CX56" i="1" s="1"/>
  <c r="CV132" i="1"/>
  <c r="CX132" i="1" s="1"/>
  <c r="CV119" i="1"/>
  <c r="CX119" i="1" s="1"/>
  <c r="CV116" i="1"/>
  <c r="CX116" i="1" s="1"/>
  <c r="CV96" i="1"/>
  <c r="CX96" i="1" s="1"/>
  <c r="CV101" i="1"/>
  <c r="CX101" i="1" s="1"/>
  <c r="CV91" i="1"/>
  <c r="CX91" i="1" s="1"/>
  <c r="CV89" i="1"/>
  <c r="CX89" i="1" s="1"/>
  <c r="CV139" i="1"/>
  <c r="CX139" i="1" s="1"/>
  <c r="CV117" i="1"/>
  <c r="CX117" i="1" s="1"/>
  <c r="CV145" i="1"/>
  <c r="CX145" i="1" s="1"/>
  <c r="CV103" i="1"/>
  <c r="CX103" i="1" s="1"/>
  <c r="CV156" i="1"/>
  <c r="CX156" i="1" s="1"/>
  <c r="CV149" i="1"/>
  <c r="CX149" i="1" s="1"/>
  <c r="CV155" i="1"/>
  <c r="CX155" i="1" s="1"/>
  <c r="CV151" i="1"/>
  <c r="CX151" i="1" s="1"/>
  <c r="CV150" i="1"/>
  <c r="CX150" i="1" s="1"/>
  <c r="CV154" i="1"/>
  <c r="CX154" i="1" s="1"/>
  <c r="CV153" i="1"/>
  <c r="CX153" i="1" s="1"/>
  <c r="CV152" i="1"/>
  <c r="CV168" i="1"/>
  <c r="CX168" i="1" s="1"/>
  <c r="CV160" i="1"/>
  <c r="CX160" i="1" s="1"/>
  <c r="CV165" i="1"/>
  <c r="CX165" i="1" s="1"/>
  <c r="CV162" i="1"/>
  <c r="CX162" i="1" s="1"/>
  <c r="CV166" i="1"/>
  <c r="CX166" i="1" s="1"/>
  <c r="CV163" i="1"/>
  <c r="CX163" i="1" s="1"/>
  <c r="CV159" i="1"/>
  <c r="CX159" i="1" s="1"/>
  <c r="CV157" i="1"/>
  <c r="CX157" i="1" s="1"/>
  <c r="CV164" i="1"/>
  <c r="CX164" i="1" s="1"/>
  <c r="CV158" i="1"/>
  <c r="CV167" i="1"/>
  <c r="CV161" i="1"/>
  <c r="CV174" i="1"/>
  <c r="CX174" i="1" s="1"/>
  <c r="CV170" i="1"/>
  <c r="CX170" i="1" s="1"/>
  <c r="CV180" i="1"/>
  <c r="CX180" i="1" s="1"/>
  <c r="CV169" i="1"/>
  <c r="CX169" i="1" s="1"/>
  <c r="CV171" i="1"/>
  <c r="CX171" i="1" s="1"/>
  <c r="CV173" i="1"/>
  <c r="CX173" i="1" s="1"/>
  <c r="CV172" i="1"/>
  <c r="CV186" i="1"/>
  <c r="CX186" i="1" s="1"/>
  <c r="CV175" i="1"/>
  <c r="CX175" i="1" s="1"/>
  <c r="CV181" i="1"/>
  <c r="CX181" i="1" s="1"/>
  <c r="CV179" i="1"/>
  <c r="CX179" i="1" s="1"/>
  <c r="CV177" i="1"/>
  <c r="CX177" i="1" s="1"/>
  <c r="CV182" i="1"/>
  <c r="CX182" i="1" s="1"/>
  <c r="CV176" i="1"/>
  <c r="CX176" i="1" s="1"/>
  <c r="CV178" i="1"/>
  <c r="CV185" i="1"/>
  <c r="CX185" i="1" s="1"/>
  <c r="CV187" i="1"/>
  <c r="CX187" i="1" s="1"/>
  <c r="CV184" i="1"/>
  <c r="CX184" i="1" s="1"/>
  <c r="CV188" i="1"/>
  <c r="CX188" i="1" s="1"/>
  <c r="CV183" i="1"/>
  <c r="CX183" i="1" s="1"/>
  <c r="CV200" i="1"/>
  <c r="CX200" i="1" s="1"/>
  <c r="CV199" i="1"/>
  <c r="CX199" i="1" s="1"/>
  <c r="CV190" i="1"/>
  <c r="CX190" i="1" s="1"/>
  <c r="CV209" i="1"/>
  <c r="CX209" i="1" s="1"/>
  <c r="CV191" i="1"/>
  <c r="CX191" i="1" s="1"/>
  <c r="CV205" i="1"/>
  <c r="CX205" i="1" s="1"/>
  <c r="CV204" i="1"/>
  <c r="CX204" i="1" s="1"/>
  <c r="CV197" i="1"/>
  <c r="CX197" i="1" s="1"/>
  <c r="CV192" i="1"/>
  <c r="CX192" i="1" s="1"/>
  <c r="CV206" i="1"/>
  <c r="CX206" i="1" s="1"/>
  <c r="CV210" i="1"/>
  <c r="CX210" i="1" s="1"/>
  <c r="CV202" i="1"/>
  <c r="CX202" i="1" s="1"/>
  <c r="CV201" i="1"/>
  <c r="CX201" i="1" s="1"/>
  <c r="CV189" i="1"/>
  <c r="CX189" i="1" s="1"/>
  <c r="CV193" i="1"/>
  <c r="CX193" i="1" s="1"/>
  <c r="CV198" i="1"/>
  <c r="CX198" i="1" s="1"/>
  <c r="CV194" i="1"/>
  <c r="CX194" i="1" s="1"/>
  <c r="CV196" i="1"/>
  <c r="CV195" i="1"/>
  <c r="CV203" i="1"/>
  <c r="CV212" i="1"/>
  <c r="CX212" i="1" s="1"/>
  <c r="CV207" i="1"/>
  <c r="CX207" i="1" s="1"/>
  <c r="CV208" i="1"/>
  <c r="CX208" i="1" s="1"/>
  <c r="CV211" i="1"/>
  <c r="CX211" i="1" s="1"/>
  <c r="CV213" i="1"/>
  <c r="CX213" i="1" s="1"/>
  <c r="CV216" i="1"/>
  <c r="CX216" i="1" s="1"/>
  <c r="CV214" i="1"/>
  <c r="CX214" i="1" s="1"/>
  <c r="CV215" i="1"/>
  <c r="CX215" i="1" s="1"/>
  <c r="CV217" i="1"/>
  <c r="CX217" i="1" s="1"/>
  <c r="CV221" i="1"/>
  <c r="CX221" i="1" s="1"/>
  <c r="CV218" i="1"/>
  <c r="CX218" i="1" s="1"/>
  <c r="CV220" i="1"/>
  <c r="CX220" i="1" s="1"/>
  <c r="CV219" i="1"/>
  <c r="CV230" i="1"/>
  <c r="CX230" i="1" s="1"/>
  <c r="CV222" i="1"/>
  <c r="CX222" i="1" s="1"/>
  <c r="CV229" i="1"/>
  <c r="CX229" i="1" s="1"/>
  <c r="CV225" i="1"/>
  <c r="CX225" i="1" s="1"/>
  <c r="CV234" i="1"/>
  <c r="CX234" i="1" s="1"/>
  <c r="CV226" i="1"/>
  <c r="CX226" i="1" s="1"/>
  <c r="CV223" i="1"/>
  <c r="CX223" i="1" s="1"/>
  <c r="CV224" i="1"/>
  <c r="CX224" i="1" s="1"/>
  <c r="CV233" i="1"/>
  <c r="CX233" i="1" s="1"/>
  <c r="CV227" i="1"/>
  <c r="CX227" i="1" s="1"/>
  <c r="CV228" i="1"/>
  <c r="CV250" i="1"/>
  <c r="CX250" i="1" s="1"/>
  <c r="CV231" i="1"/>
  <c r="CX231" i="1" s="1"/>
  <c r="CV232" i="1"/>
  <c r="CV249" i="1"/>
  <c r="CX249" i="1" s="1"/>
  <c r="CV242" i="1"/>
  <c r="CX242" i="1" s="1"/>
  <c r="CV245" i="1"/>
  <c r="CX245" i="1" s="1"/>
  <c r="CV238" i="1"/>
  <c r="CX238" i="1" s="1"/>
  <c r="CV251" i="1"/>
  <c r="CX251" i="1" s="1"/>
  <c r="CV241" i="1"/>
  <c r="CX241" i="1" s="1"/>
  <c r="CV243" i="1"/>
  <c r="CX243" i="1" s="1"/>
  <c r="CV240" i="1"/>
  <c r="CV261" i="1"/>
  <c r="CX261" i="1" s="1"/>
  <c r="CV236" i="1"/>
  <c r="CX236" i="1" s="1"/>
  <c r="CV248" i="1"/>
  <c r="CX248" i="1" s="1"/>
  <c r="CV239" i="1"/>
  <c r="CX239" i="1" s="1"/>
  <c r="CV246" i="1"/>
  <c r="CV237" i="1"/>
  <c r="CX237" i="1" s="1"/>
  <c r="CV244" i="1"/>
  <c r="CV235" i="1"/>
  <c r="CV247" i="1"/>
  <c r="CX247" i="1" s="1"/>
  <c r="CV258" i="1"/>
  <c r="CX258" i="1" s="1"/>
  <c r="CV259" i="1"/>
  <c r="CX259" i="1" s="1"/>
  <c r="CV255" i="1"/>
  <c r="CV257" i="1"/>
  <c r="CV253" i="1"/>
  <c r="CX253" i="1" s="1"/>
  <c r="CV256" i="1"/>
  <c r="CX256" i="1" s="1"/>
  <c r="CV252" i="1"/>
  <c r="CV260" i="1"/>
  <c r="CV254" i="1"/>
  <c r="CX254" i="1" s="1"/>
  <c r="CV263" i="1"/>
  <c r="CX263" i="1" s="1"/>
  <c r="CV264" i="1"/>
  <c r="CX264" i="1" s="1"/>
  <c r="CV265" i="1"/>
  <c r="CX265" i="1" s="1"/>
  <c r="CV262" i="1"/>
  <c r="CV266" i="1"/>
  <c r="CX266" i="1" s="1"/>
  <c r="CV268" i="1"/>
  <c r="CX268" i="1" s="1"/>
  <c r="CV267" i="1"/>
  <c r="CX267" i="1" s="1"/>
  <c r="CV276" i="1"/>
  <c r="CX276" i="1" s="1"/>
  <c r="CV275" i="1"/>
  <c r="CX275" i="1" s="1"/>
  <c r="CV272" i="1"/>
  <c r="CX272" i="1" s="1"/>
  <c r="CV273" i="1"/>
  <c r="CX273" i="1" s="1"/>
  <c r="CV270" i="1"/>
  <c r="CX270" i="1" s="1"/>
  <c r="CV281" i="1"/>
  <c r="CX281" i="1" s="1"/>
  <c r="CV271" i="1"/>
  <c r="CX271" i="1" s="1"/>
  <c r="CV269" i="1"/>
  <c r="CX269" i="1" s="1"/>
  <c r="CV282" i="1"/>
  <c r="CX282" i="1" s="1"/>
  <c r="CV274" i="1"/>
  <c r="CX274" i="1" s="1"/>
  <c r="CV277" i="1"/>
  <c r="CX277" i="1" s="1"/>
  <c r="CV301" i="1"/>
  <c r="CX301" i="1" s="1"/>
  <c r="CV278" i="1"/>
  <c r="CX278" i="1" s="1"/>
  <c r="CV279" i="1"/>
  <c r="CV280" i="1"/>
  <c r="CV283" i="1"/>
  <c r="CX283" i="1" s="1"/>
  <c r="CV284" i="1"/>
  <c r="CX284" i="1" s="1"/>
  <c r="CV300" i="1"/>
  <c r="CX300" i="1" s="1"/>
  <c r="CV285" i="1"/>
  <c r="CX285" i="1" s="1"/>
  <c r="CV289" i="1"/>
  <c r="CX289" i="1" s="1"/>
  <c r="CV286" i="1"/>
  <c r="CX286" i="1" s="1"/>
  <c r="CV288" i="1"/>
  <c r="CX288" i="1" s="1"/>
  <c r="CV296" i="1"/>
  <c r="CX296" i="1" s="1"/>
  <c r="CV295" i="1"/>
  <c r="CX295" i="1" s="1"/>
  <c r="CV294" i="1"/>
  <c r="CX294" i="1" s="1"/>
  <c r="CV293" i="1"/>
  <c r="CX293" i="1" s="1"/>
  <c r="CV292" i="1"/>
  <c r="CX292" i="1" s="1"/>
  <c r="CV287" i="1"/>
  <c r="CV298" i="1"/>
  <c r="CX298" i="1" s="1"/>
  <c r="CV290" i="1"/>
  <c r="CX290" i="1" s="1"/>
  <c r="CV297" i="1"/>
  <c r="CX297" i="1" s="1"/>
  <c r="CV291" i="1"/>
  <c r="CV299" i="1"/>
  <c r="CV306" i="1"/>
  <c r="CX306" i="1" s="1"/>
  <c r="CV314" i="1"/>
  <c r="CX314" i="1" s="1"/>
  <c r="CV313" i="1"/>
  <c r="CX313" i="1" s="1"/>
  <c r="CV303" i="1"/>
  <c r="CX303" i="1" s="1"/>
  <c r="CV302" i="1"/>
  <c r="CX302" i="1" s="1"/>
  <c r="CV311" i="1"/>
  <c r="CX311" i="1" s="1"/>
  <c r="CV309" i="1"/>
  <c r="CX309" i="1" s="1"/>
  <c r="CV316" i="1"/>
  <c r="CX316" i="1" s="1"/>
  <c r="CV305" i="1"/>
  <c r="CX305" i="1" s="1"/>
  <c r="CV308" i="1"/>
  <c r="CX308" i="1" s="1"/>
  <c r="CV315" i="1"/>
  <c r="CX315" i="1" s="1"/>
  <c r="CV317" i="1"/>
  <c r="CX317" i="1" s="1"/>
  <c r="CV307" i="1"/>
  <c r="CX307" i="1" s="1"/>
  <c r="CV310" i="1"/>
  <c r="CV304" i="1"/>
  <c r="CX304" i="1" s="1"/>
  <c r="CV312" i="1"/>
  <c r="CV319" i="1"/>
  <c r="CX319" i="1" s="1"/>
  <c r="CV323" i="1"/>
  <c r="CX323" i="1" s="1"/>
  <c r="CV318" i="1"/>
  <c r="CX318" i="1" s="1"/>
  <c r="CV320" i="1"/>
  <c r="CX320" i="1" s="1"/>
  <c r="CV322" i="1"/>
  <c r="CX322" i="1" s="1"/>
  <c r="CV321" i="1"/>
  <c r="CV331" i="1"/>
  <c r="CX331" i="1" s="1"/>
  <c r="CV324" i="1"/>
  <c r="CX324" i="1" s="1"/>
  <c r="CV325" i="1"/>
  <c r="CV326" i="1"/>
  <c r="CX326" i="1" s="1"/>
  <c r="CV329" i="1"/>
  <c r="CX329" i="1" s="1"/>
  <c r="CV332" i="1"/>
  <c r="CX332" i="1" s="1"/>
  <c r="CV327" i="1"/>
  <c r="CX327" i="1" s="1"/>
  <c r="CV328" i="1"/>
  <c r="CV330" i="1"/>
  <c r="CV333" i="1"/>
  <c r="CX333" i="1" s="1"/>
  <c r="CV334" i="1"/>
  <c r="CX334" i="1" s="1"/>
  <c r="CV336" i="1"/>
  <c r="CX336" i="1" s="1"/>
  <c r="CV335" i="1"/>
  <c r="CX335" i="1" s="1"/>
  <c r="CV338" i="1"/>
  <c r="CX338" i="1" s="1"/>
  <c r="CV337" i="1"/>
  <c r="CX337" i="1" s="1"/>
  <c r="CV339" i="1"/>
  <c r="CX339" i="1" s="1"/>
  <c r="CV344" i="1"/>
  <c r="CX344" i="1" s="1"/>
  <c r="CV340" i="1"/>
  <c r="CX340" i="1" s="1"/>
  <c r="CV345" i="1"/>
  <c r="CX345" i="1" s="1"/>
  <c r="CV343" i="1"/>
  <c r="CX343" i="1" s="1"/>
  <c r="CV346" i="1"/>
  <c r="CX346" i="1" s="1"/>
  <c r="CV341" i="1"/>
  <c r="CX341" i="1" s="1"/>
  <c r="CV342" i="1"/>
  <c r="CX342"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9" i="1" l="1"/>
  <c r="CX27" i="1"/>
  <c r="CX11" i="1"/>
  <c r="AM3456" i="31"/>
  <c r="AL3456" i="31"/>
  <c r="T3456" i="31" a="1"/>
  <c r="T3456" i="31" s="1"/>
  <c r="B3457" i="31"/>
  <c r="AS3456" i="31"/>
  <c r="CX152" i="1"/>
  <c r="CX161" i="1"/>
  <c r="CX167" i="1"/>
  <c r="CX158" i="1"/>
  <c r="CX172" i="1"/>
  <c r="CX178" i="1"/>
  <c r="CX196" i="1"/>
  <c r="CX203" i="1"/>
  <c r="CX195" i="1"/>
  <c r="CX219" i="1"/>
  <c r="CX228" i="1"/>
  <c r="CX232" i="1"/>
  <c r="CX235" i="1"/>
  <c r="CX246" i="1"/>
  <c r="CX244" i="1"/>
  <c r="CX240" i="1"/>
  <c r="CX252" i="1"/>
  <c r="CX260" i="1"/>
  <c r="CX255" i="1"/>
  <c r="CX257" i="1"/>
  <c r="CX262" i="1"/>
  <c r="CX279" i="1"/>
  <c r="CX280" i="1"/>
  <c r="CX291" i="1"/>
  <c r="CX287" i="1"/>
  <c r="CX299" i="1"/>
  <c r="CX310" i="1"/>
  <c r="CX312" i="1"/>
  <c r="CX321" i="1"/>
  <c r="CX325" i="1"/>
  <c r="CX328" i="1"/>
  <c r="CX330" i="1"/>
  <c r="AV3456" i="31" l="1"/>
  <c r="AU3456" i="31"/>
  <c r="AT3456" i="31" s="1"/>
  <c r="T3457" i="31" a="1"/>
  <c r="T3457"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T3458" i="31" a="1"/>
  <c r="T3458"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T3459" i="31" a="1"/>
  <c r="T3459" i="31" s="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T3460" i="31" a="1"/>
  <c r="T3460"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T3461" i="31" a="1"/>
  <c r="T3461" i="31" s="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T3462" i="31" a="1"/>
  <c r="T3462" i="31" s="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T3463" i="31" a="1"/>
  <c r="T3463" i="31" s="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T3464" i="31" a="1"/>
  <c r="T3464" i="31" s="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T3465" i="31" a="1"/>
  <c r="T3465" i="31" s="1"/>
  <c r="B3466" i="31"/>
  <c r="AS3465" i="31"/>
  <c r="AL3465" i="31"/>
  <c r="AM3465" i="31"/>
  <c r="BZ26" i="10"/>
  <c r="BZ27" i="10"/>
  <c r="CD29" i="10"/>
  <c r="T3466" i="31" l="1" a="1"/>
  <c r="T3466" i="31" s="1"/>
  <c r="B3467" i="31"/>
  <c r="AS3466" i="31"/>
  <c r="AM3466" i="31"/>
  <c r="AL3466" i="31"/>
  <c r="AV3465" i="31"/>
  <c r="AU3465" i="31"/>
  <c r="AT3465" i="31" s="1"/>
  <c r="BJ31" i="10"/>
  <c r="H16" i="31"/>
  <c r="AV3466" i="31" l="1"/>
  <c r="AU3466" i="31"/>
  <c r="AT3466" i="31" s="1"/>
  <c r="B3468" i="31"/>
  <c r="AS3467" i="31"/>
  <c r="AM3467" i="31"/>
  <c r="AL3467" i="31"/>
  <c r="T3467" i="31" a="1"/>
  <c r="T3467" i="31" s="1"/>
  <c r="F16" i="31"/>
  <c r="AV3467" i="31" l="1"/>
  <c r="AU3467" i="31"/>
  <c r="AT3467" i="31" s="1"/>
  <c r="AS3468" i="31"/>
  <c r="AM3468" i="31"/>
  <c r="AL3468" i="31"/>
  <c r="T3468" i="31" a="1"/>
  <c r="T3468" i="31" s="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T3469" i="31" a="1"/>
  <c r="T3469" i="31" s="1"/>
  <c r="B3470" i="31"/>
  <c r="AV3468" i="31"/>
  <c r="AU3468" i="31"/>
  <c r="BJ43" i="10"/>
  <c r="AS3470" i="31" l="1"/>
  <c r="AM3470" i="31"/>
  <c r="AL3470" i="31"/>
  <c r="T3470" i="31" a="1"/>
  <c r="T3470" i="31" s="1"/>
  <c r="B3471" i="31"/>
  <c r="AT3468" i="31"/>
  <c r="AU3469" i="31"/>
  <c r="AV3469" i="31"/>
  <c r="AS17" i="31"/>
  <c r="AU17" i="31" s="1"/>
  <c r="AM3471" i="31" l="1"/>
  <c r="AL3471" i="31"/>
  <c r="T3471" i="31" a="1"/>
  <c r="T3471" i="31" s="1"/>
  <c r="B3472" i="31"/>
  <c r="AS3471" i="31"/>
  <c r="AT3469" i="31"/>
  <c r="AV3470" i="31"/>
  <c r="AU3470" i="31" s="1"/>
  <c r="AT3470" i="31" s="1"/>
  <c r="AV17" i="31"/>
  <c r="AT17" i="31" s="1"/>
  <c r="BF38" i="10"/>
  <c r="K25" i="10" s="1"/>
  <c r="AV3471" i="31" l="1"/>
  <c r="AU3471" i="31" s="1"/>
  <c r="AT3471" i="31" s="1"/>
  <c r="AM3472" i="31"/>
  <c r="AL3472" i="31"/>
  <c r="T3472" i="31" a="1"/>
  <c r="T3472" i="31" s="1"/>
  <c r="B3473" i="31"/>
  <c r="AS3472" i="31"/>
  <c r="Q12" i="31"/>
  <c r="AV3472" i="31" l="1"/>
  <c r="AU3472" i="31"/>
  <c r="AT3472" i="31" s="1"/>
  <c r="AL3473" i="31"/>
  <c r="T3473" i="31" a="1"/>
  <c r="T3473" i="31" s="1"/>
  <c r="B3474" i="31"/>
  <c r="AS3473" i="31"/>
  <c r="AM3473" i="31"/>
  <c r="R16" i="31"/>
  <c r="R3528" i="31"/>
  <c r="R3520" i="31"/>
  <c r="R3521" i="31"/>
  <c r="R3527" i="31"/>
  <c r="R3519" i="31"/>
  <c r="R3526" i="31"/>
  <c r="R3525" i="31"/>
  <c r="R3524" i="31"/>
  <c r="R3523" i="31"/>
  <c r="R3529" i="31"/>
  <c r="R3522" i="31"/>
  <c r="J16" i="31"/>
  <c r="G16" i="31"/>
  <c r="AV3473" i="31" l="1"/>
  <c r="AU3473" i="31"/>
  <c r="AT3473" i="31" s="1"/>
  <c r="T3474" i="31" a="1"/>
  <c r="T3474" i="31" s="1"/>
  <c r="B3475" i="31"/>
  <c r="AS3474" i="31"/>
  <c r="AM3474" i="31"/>
  <c r="AL3474" i="31"/>
  <c r="J5" i="31"/>
  <c r="J9" i="31" s="1"/>
  <c r="BH29" i="10"/>
  <c r="AV3474" i="31" l="1"/>
  <c r="AU3474" i="31"/>
  <c r="AT3474" i="31" s="1"/>
  <c r="B3476" i="31"/>
  <c r="AS3475" i="31"/>
  <c r="AM3475" i="31"/>
  <c r="AL3475" i="31"/>
  <c r="T3475" i="31" a="1"/>
  <c r="T3475" i="31" s="1"/>
  <c r="J6" i="31"/>
  <c r="J8" i="31"/>
  <c r="J11" i="31"/>
  <c r="AV3475" i="31" l="1"/>
  <c r="AU3475" i="31"/>
  <c r="AT3475" i="31" s="1"/>
  <c r="AS3476" i="31"/>
  <c r="AM3476" i="31"/>
  <c r="B3477" i="31"/>
  <c r="AL3476" i="31"/>
  <c r="T3476" i="31" a="1"/>
  <c r="T3476" i="31" s="1"/>
  <c r="AO1379" i="31"/>
  <c r="AN1379" i="31"/>
  <c r="AO1378" i="31"/>
  <c r="AN1378" i="31"/>
  <c r="AO1377" i="31"/>
  <c r="AN1377" i="31"/>
  <c r="AO1376" i="31"/>
  <c r="AN1376" i="31"/>
  <c r="AO1375" i="31"/>
  <c r="AN1375" i="31"/>
  <c r="AO1374" i="31"/>
  <c r="AN1374" i="31"/>
  <c r="AO1373" i="31"/>
  <c r="AN1373" i="31"/>
  <c r="AS3477" i="31" l="1"/>
  <c r="AM3477" i="31"/>
  <c r="AL3477" i="31"/>
  <c r="T3477" i="31" a="1"/>
  <c r="T3477" i="31" s="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T3478" i="31" a="1"/>
  <c r="T3478" i="31" s="1"/>
  <c r="B3479" i="31"/>
  <c r="AM17" i="31"/>
  <c r="BD64" i="31"/>
  <c r="BD63" i="31"/>
  <c r="BD62" i="31"/>
  <c r="BD61" i="31"/>
  <c r="BC64" i="31"/>
  <c r="BC63" i="31"/>
  <c r="BC62" i="31"/>
  <c r="BC61" i="31"/>
  <c r="AL17" i="31"/>
  <c r="AM3479" i="31" l="1"/>
  <c r="AL3479" i="31"/>
  <c r="T3479" i="31" a="1"/>
  <c r="T3479" i="31" s="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T3480" i="31" a="1"/>
  <c r="T3480" i="31" s="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CO32" i="1" l="1"/>
  <c r="CO16" i="1"/>
  <c r="CO27" i="1"/>
  <c r="CO11" i="1"/>
  <c r="CO22" i="1"/>
  <c r="CO33" i="1"/>
  <c r="CO17" i="1"/>
  <c r="CO28" i="1"/>
  <c r="CO12" i="1"/>
  <c r="CO23" i="1"/>
  <c r="CO34" i="1"/>
  <c r="CO18" i="1"/>
  <c r="CO25" i="1"/>
  <c r="CO29" i="1"/>
  <c r="CO13" i="1"/>
  <c r="CO24" i="1"/>
  <c r="CO21" i="1"/>
  <c r="CO35" i="1"/>
  <c r="CO19" i="1"/>
  <c r="CO30" i="1"/>
  <c r="CO14" i="1"/>
  <c r="CO20" i="1"/>
  <c r="CO31" i="1"/>
  <c r="CO15" i="1"/>
  <c r="CO26" i="1"/>
  <c r="CO10" i="1"/>
  <c r="CK20" i="1"/>
  <c r="CK31" i="1"/>
  <c r="CK15" i="1"/>
  <c r="CK13" i="1"/>
  <c r="CK26" i="1"/>
  <c r="CK10" i="1"/>
  <c r="CK29" i="1"/>
  <c r="CK21" i="1"/>
  <c r="CK32" i="1"/>
  <c r="CK16" i="1"/>
  <c r="CK27" i="1"/>
  <c r="CK11" i="1"/>
  <c r="CK22" i="1"/>
  <c r="CK33" i="1"/>
  <c r="CK17" i="1"/>
  <c r="CK28" i="1"/>
  <c r="CK12" i="1"/>
  <c r="CK23" i="1"/>
  <c r="CK34" i="1"/>
  <c r="CK18" i="1"/>
  <c r="CK24" i="1"/>
  <c r="CK35" i="1"/>
  <c r="CK19" i="1"/>
  <c r="CK14" i="1"/>
  <c r="CK25" i="1"/>
  <c r="CK30" i="1"/>
  <c r="CL31" i="1"/>
  <c r="CL15" i="1"/>
  <c r="CL26" i="1"/>
  <c r="CL10" i="1"/>
  <c r="CL24" i="1"/>
  <c r="CL21" i="1"/>
  <c r="CL32" i="1"/>
  <c r="CL16" i="1"/>
  <c r="CL27" i="1"/>
  <c r="CL11" i="1"/>
  <c r="CL22" i="1"/>
  <c r="CL33" i="1"/>
  <c r="CL17" i="1"/>
  <c r="CL20" i="1"/>
  <c r="CL28" i="1"/>
  <c r="CL12" i="1"/>
  <c r="CL23" i="1"/>
  <c r="CL34" i="1"/>
  <c r="CL18" i="1"/>
  <c r="CL29" i="1"/>
  <c r="CL13" i="1"/>
  <c r="CL35" i="1"/>
  <c r="CL19" i="1"/>
  <c r="CL30" i="1"/>
  <c r="CL14" i="1"/>
  <c r="CL25" i="1"/>
  <c r="CP27" i="1"/>
  <c r="CP11" i="1"/>
  <c r="CP22" i="1"/>
  <c r="CP33" i="1"/>
  <c r="CP17" i="1"/>
  <c r="CP28" i="1"/>
  <c r="CP12" i="1"/>
  <c r="CP23" i="1"/>
  <c r="CP20" i="1"/>
  <c r="CP34" i="1"/>
  <c r="CP18" i="1"/>
  <c r="CP29" i="1"/>
  <c r="CP13" i="1"/>
  <c r="CP16" i="1"/>
  <c r="CP24" i="1"/>
  <c r="CP35" i="1"/>
  <c r="CP19" i="1"/>
  <c r="CP30" i="1"/>
  <c r="CP14" i="1"/>
  <c r="CP25" i="1"/>
  <c r="CP31" i="1"/>
  <c r="CP15" i="1"/>
  <c r="CP26" i="1"/>
  <c r="CP10" i="1"/>
  <c r="CP32" i="1"/>
  <c r="CP21" i="1"/>
  <c r="AV3480" i="31"/>
  <c r="AU3480" i="31"/>
  <c r="AT3480" i="31" s="1"/>
  <c r="AL3481" i="31"/>
  <c r="T3481" i="31" a="1"/>
  <c r="T3481" i="31" s="1"/>
  <c r="B3482" i="31"/>
  <c r="AS3481" i="31"/>
  <c r="AM3481" i="31"/>
  <c r="BF36" i="1"/>
  <c r="BF38" i="1"/>
  <c r="BI37" i="1"/>
  <c r="BI38" i="1"/>
  <c r="BI36" i="1"/>
  <c r="BG37" i="1"/>
  <c r="BF37" i="1"/>
  <c r="BG36" i="1"/>
  <c r="BG38" i="1"/>
  <c r="CK38" i="1"/>
  <c r="CK36" i="1"/>
  <c r="CK37" i="1"/>
  <c r="CL38" i="1"/>
  <c r="CL36" i="1"/>
  <c r="CL37" i="1"/>
  <c r="CP36" i="1"/>
  <c r="CP37" i="1"/>
  <c r="CP38" i="1"/>
  <c r="CO36" i="1"/>
  <c r="CO37" i="1"/>
  <c r="CO38" i="1"/>
  <c r="BG42" i="1"/>
  <c r="BG40" i="1"/>
  <c r="BF42" i="1"/>
  <c r="BF40" i="1"/>
  <c r="BF41" i="1"/>
  <c r="BF39" i="1"/>
  <c r="BI39" i="1"/>
  <c r="BI40" i="1"/>
  <c r="BG41" i="1"/>
  <c r="BG39" i="1"/>
  <c r="CK40" i="1"/>
  <c r="CK39" i="1"/>
  <c r="CL40" i="1"/>
  <c r="CL39" i="1"/>
  <c r="CP39" i="1"/>
  <c r="CP40" i="1"/>
  <c r="CO39" i="1"/>
  <c r="CO40" i="1"/>
  <c r="BI42" i="1"/>
  <c r="BI41" i="1"/>
  <c r="CK42" i="1"/>
  <c r="CK41" i="1"/>
  <c r="CL42" i="1"/>
  <c r="CL41" i="1"/>
  <c r="CP41" i="1"/>
  <c r="CP42" i="1"/>
  <c r="CO41" i="1"/>
  <c r="CO42" i="1"/>
  <c r="BF52" i="1"/>
  <c r="BF45" i="1"/>
  <c r="BF43" i="1"/>
  <c r="BF49" i="1"/>
  <c r="BF47" i="1"/>
  <c r="BF51" i="1"/>
  <c r="BG53" i="1"/>
  <c r="BG44" i="1"/>
  <c r="BG50" i="1"/>
  <c r="BG48" i="1"/>
  <c r="BG46" i="1"/>
  <c r="BF53" i="1"/>
  <c r="BF44" i="1"/>
  <c r="BF50" i="1"/>
  <c r="BF48" i="1"/>
  <c r="BF46" i="1"/>
  <c r="BI44" i="1"/>
  <c r="BI50" i="1"/>
  <c r="BI45" i="1"/>
  <c r="BI43" i="1"/>
  <c r="BI49" i="1"/>
  <c r="BI48" i="1"/>
  <c r="BI47" i="1"/>
  <c r="BI46" i="1"/>
  <c r="BI51" i="1"/>
  <c r="BI52" i="1"/>
  <c r="BI53" i="1"/>
  <c r="BG45" i="1"/>
  <c r="BG43" i="1"/>
  <c r="BG49" i="1"/>
  <c r="BG47" i="1"/>
  <c r="BG51" i="1"/>
  <c r="BG52" i="1"/>
  <c r="CP51" i="1"/>
  <c r="CP47" i="1"/>
  <c r="CP43" i="1"/>
  <c r="CP52" i="1"/>
  <c r="CP48" i="1"/>
  <c r="CP44" i="1"/>
  <c r="CP53" i="1"/>
  <c r="CP49" i="1"/>
  <c r="CP45" i="1"/>
  <c r="CP50" i="1"/>
  <c r="CP46" i="1"/>
  <c r="CO50" i="1"/>
  <c r="CO46" i="1"/>
  <c r="CO51" i="1"/>
  <c r="CO47" i="1"/>
  <c r="CO43" i="1"/>
  <c r="CO52" i="1"/>
  <c r="CO48" i="1"/>
  <c r="CO44" i="1"/>
  <c r="CO53" i="1"/>
  <c r="CO49" i="1"/>
  <c r="CO45" i="1"/>
  <c r="CK53" i="1"/>
  <c r="CK49" i="1"/>
  <c r="CK45" i="1"/>
  <c r="CK50" i="1"/>
  <c r="CK46" i="1"/>
  <c r="CK51" i="1"/>
  <c r="CK47" i="1"/>
  <c r="CK43" i="1"/>
  <c r="CK52" i="1"/>
  <c r="CK48" i="1"/>
  <c r="CK44" i="1"/>
  <c r="CL53" i="1"/>
  <c r="CL49" i="1"/>
  <c r="CL45" i="1"/>
  <c r="CL50" i="1"/>
  <c r="CL46" i="1"/>
  <c r="CL51" i="1"/>
  <c r="CL47" i="1"/>
  <c r="CL43" i="1"/>
  <c r="CL52" i="1"/>
  <c r="CL48" i="1"/>
  <c r="CL44" i="1"/>
  <c r="BF77" i="1"/>
  <c r="BF76" i="1"/>
  <c r="BF64" i="1"/>
  <c r="BF74" i="1"/>
  <c r="BF80" i="1"/>
  <c r="BF84" i="1"/>
  <c r="BF71" i="1"/>
  <c r="BF67" i="1"/>
  <c r="BF87" i="1"/>
  <c r="BF54" i="1"/>
  <c r="BF55" i="1"/>
  <c r="BF81" i="1"/>
  <c r="BF83" i="1"/>
  <c r="BF66" i="1"/>
  <c r="BF62" i="1"/>
  <c r="BF58" i="1"/>
  <c r="BF60" i="1"/>
  <c r="BF69" i="1"/>
  <c r="BG83" i="1"/>
  <c r="BG60" i="1"/>
  <c r="BG55" i="1"/>
  <c r="BG67" i="1"/>
  <c r="BG80" i="1"/>
  <c r="BG76" i="1"/>
  <c r="BG71" i="1"/>
  <c r="BG64" i="1"/>
  <c r="BG84" i="1"/>
  <c r="BG77" i="1"/>
  <c r="BG66" i="1"/>
  <c r="BG62" i="1"/>
  <c r="BG58" i="1"/>
  <c r="BG69" i="1"/>
  <c r="BG54" i="1"/>
  <c r="BG87" i="1"/>
  <c r="BG81" i="1"/>
  <c r="BG74" i="1"/>
  <c r="BI82" i="1"/>
  <c r="BI60" i="1"/>
  <c r="BI71" i="1"/>
  <c r="BI54" i="1"/>
  <c r="BI80" i="1"/>
  <c r="BI75" i="1"/>
  <c r="BI73" i="1"/>
  <c r="BI83" i="1"/>
  <c r="BI58" i="1"/>
  <c r="BI67" i="1"/>
  <c r="BI76" i="1"/>
  <c r="BI78" i="1"/>
  <c r="BI84" i="1"/>
  <c r="BI74" i="1"/>
  <c r="BI77" i="1"/>
  <c r="BI70" i="1"/>
  <c r="BI69" i="1"/>
  <c r="BI59" i="1"/>
  <c r="BI55" i="1"/>
  <c r="BI87" i="1"/>
  <c r="BI64" i="1"/>
  <c r="BI62" i="1"/>
  <c r="BI88" i="1"/>
  <c r="BI86" i="1"/>
  <c r="BI85" i="1"/>
  <c r="BI57" i="1"/>
  <c r="BI63" i="1"/>
  <c r="BI79" i="1"/>
  <c r="BI72" i="1"/>
  <c r="BI81" i="1"/>
  <c r="BI68" i="1"/>
  <c r="BI66" i="1"/>
  <c r="BI65" i="1"/>
  <c r="BI56" i="1"/>
  <c r="BI61" i="1"/>
  <c r="BF72" i="1"/>
  <c r="BF86" i="1"/>
  <c r="BF85" i="1"/>
  <c r="BF63" i="1"/>
  <c r="BF57" i="1"/>
  <c r="BF79" i="1"/>
  <c r="BF56" i="1"/>
  <c r="BF75" i="1"/>
  <c r="BF70" i="1"/>
  <c r="BF68" i="1"/>
  <c r="BF65" i="1"/>
  <c r="BF88" i="1"/>
  <c r="BF82" i="1"/>
  <c r="BF59" i="1"/>
  <c r="BF61" i="1"/>
  <c r="BF73" i="1"/>
  <c r="BF78" i="1"/>
  <c r="BG78" i="1"/>
  <c r="BG86" i="1"/>
  <c r="BG88" i="1"/>
  <c r="BG63" i="1"/>
  <c r="BG72" i="1"/>
  <c r="BG68" i="1"/>
  <c r="BG82" i="1"/>
  <c r="BG79" i="1"/>
  <c r="BG75" i="1"/>
  <c r="BG61" i="1"/>
  <c r="BG65" i="1"/>
  <c r="BG59" i="1"/>
  <c r="BG70" i="1"/>
  <c r="BG56" i="1"/>
  <c r="BG73" i="1"/>
  <c r="BG85" i="1"/>
  <c r="BG57" i="1"/>
  <c r="CP78" i="1"/>
  <c r="CP83" i="1"/>
  <c r="CP73" i="1"/>
  <c r="CP82" i="1"/>
  <c r="CP87" i="1"/>
  <c r="CP80" i="1"/>
  <c r="CP71" i="1"/>
  <c r="CP81" i="1"/>
  <c r="CP69" i="1"/>
  <c r="CP66" i="1"/>
  <c r="CP64" i="1"/>
  <c r="CP70" i="1"/>
  <c r="CP58" i="1"/>
  <c r="CP63" i="1"/>
  <c r="CP65" i="1"/>
  <c r="CP67" i="1"/>
  <c r="CP59" i="1"/>
  <c r="CP74" i="1"/>
  <c r="CP56" i="1"/>
  <c r="CP84" i="1"/>
  <c r="CP61" i="1"/>
  <c r="CP76" i="1"/>
  <c r="CP68" i="1"/>
  <c r="CP57" i="1"/>
  <c r="CP86" i="1"/>
  <c r="CP60" i="1"/>
  <c r="CP79" i="1"/>
  <c r="CP77" i="1"/>
  <c r="CP88" i="1"/>
  <c r="CP62" i="1"/>
  <c r="CP75" i="1"/>
  <c r="CP85" i="1"/>
  <c r="CP54" i="1"/>
  <c r="CP72" i="1"/>
  <c r="CP55" i="1"/>
  <c r="CL88" i="1"/>
  <c r="CL83" i="1"/>
  <c r="CL80" i="1"/>
  <c r="CL60" i="1"/>
  <c r="CL82" i="1"/>
  <c r="CL61" i="1"/>
  <c r="CL68" i="1"/>
  <c r="CL56" i="1"/>
  <c r="CL73" i="1"/>
  <c r="CL79" i="1"/>
  <c r="CL84" i="1"/>
  <c r="CL78" i="1"/>
  <c r="CL63" i="1"/>
  <c r="CL58" i="1"/>
  <c r="CL55" i="1"/>
  <c r="CL77" i="1"/>
  <c r="CL76" i="1"/>
  <c r="CL75" i="1"/>
  <c r="CL72" i="1"/>
  <c r="CL85" i="1"/>
  <c r="CL71" i="1"/>
  <c r="CL70" i="1"/>
  <c r="CL81" i="1"/>
  <c r="CL69" i="1"/>
  <c r="CL67" i="1"/>
  <c r="CL65" i="1"/>
  <c r="CL66" i="1"/>
  <c r="CL64" i="1"/>
  <c r="CL57" i="1"/>
  <c r="CL86" i="1"/>
  <c r="CL59" i="1"/>
  <c r="CL74" i="1"/>
  <c r="CL87" i="1"/>
  <c r="CL54" i="1"/>
  <c r="CL62" i="1"/>
  <c r="CK85" i="1"/>
  <c r="CK54" i="1"/>
  <c r="CK80" i="1"/>
  <c r="CK72" i="1"/>
  <c r="CK78" i="1"/>
  <c r="CK74" i="1"/>
  <c r="CK81" i="1"/>
  <c r="CK56" i="1"/>
  <c r="CK70" i="1"/>
  <c r="CK69" i="1"/>
  <c r="CK68" i="1"/>
  <c r="CK63" i="1"/>
  <c r="CK55" i="1"/>
  <c r="CK58" i="1"/>
  <c r="CK65" i="1"/>
  <c r="CK71" i="1"/>
  <c r="CK59" i="1"/>
  <c r="CK79" i="1"/>
  <c r="CK82" i="1"/>
  <c r="CK61" i="1"/>
  <c r="CK62" i="1"/>
  <c r="CK75" i="1"/>
  <c r="CK88" i="1"/>
  <c r="CK83" i="1"/>
  <c r="CK57" i="1"/>
  <c r="CK77" i="1"/>
  <c r="CK84" i="1"/>
  <c r="CK73" i="1"/>
  <c r="CK87" i="1"/>
  <c r="CK76" i="1"/>
  <c r="CK66" i="1"/>
  <c r="CK67" i="1"/>
  <c r="CK60" i="1"/>
  <c r="CK64" i="1"/>
  <c r="CK86" i="1"/>
  <c r="BF143" i="1"/>
  <c r="BF144" i="1"/>
  <c r="BF124" i="1"/>
  <c r="BF113" i="1"/>
  <c r="BF91" i="1"/>
  <c r="BF102" i="1"/>
  <c r="BF99" i="1"/>
  <c r="BF108" i="1"/>
  <c r="BF147" i="1"/>
  <c r="BF110" i="1"/>
  <c r="BF104" i="1"/>
  <c r="BF93" i="1"/>
  <c r="BF98" i="1"/>
  <c r="BF120" i="1"/>
  <c r="BF121" i="1"/>
  <c r="BF131" i="1"/>
  <c r="BF133" i="1"/>
  <c r="BF111" i="1"/>
  <c r="BF96" i="1"/>
  <c r="BF106" i="1"/>
  <c r="BF128" i="1"/>
  <c r="BF146" i="1"/>
  <c r="BF127" i="1"/>
  <c r="BF134" i="1"/>
  <c r="BF142" i="1"/>
  <c r="BF118" i="1"/>
  <c r="BF89" i="1"/>
  <c r="BF135" i="1"/>
  <c r="BF125" i="1"/>
  <c r="BF136" i="1"/>
  <c r="BF115" i="1"/>
  <c r="BG113" i="1"/>
  <c r="BG111" i="1"/>
  <c r="BG102" i="1"/>
  <c r="BG110" i="1"/>
  <c r="BG124" i="1"/>
  <c r="BG136" i="1"/>
  <c r="BG131" i="1"/>
  <c r="BG142" i="1"/>
  <c r="BG115" i="1"/>
  <c r="BG89" i="1"/>
  <c r="BG96" i="1"/>
  <c r="BG133" i="1"/>
  <c r="BG146" i="1"/>
  <c r="BG121" i="1"/>
  <c r="BG125" i="1"/>
  <c r="BG127" i="1"/>
  <c r="BG106" i="1"/>
  <c r="BG143" i="1"/>
  <c r="BG104" i="1"/>
  <c r="BG144" i="1"/>
  <c r="BG93" i="1"/>
  <c r="BG128" i="1"/>
  <c r="BG135" i="1"/>
  <c r="BG134" i="1"/>
  <c r="BG108" i="1"/>
  <c r="BG91" i="1"/>
  <c r="BG120" i="1"/>
  <c r="BG98" i="1"/>
  <c r="BG118" i="1"/>
  <c r="BG147" i="1"/>
  <c r="BG99" i="1"/>
  <c r="BI133" i="1"/>
  <c r="BI116" i="1"/>
  <c r="BI91" i="1"/>
  <c r="BI136" i="1"/>
  <c r="BI125" i="1"/>
  <c r="BI123" i="1"/>
  <c r="BI108" i="1"/>
  <c r="BI105" i="1"/>
  <c r="BI147" i="1"/>
  <c r="BI131" i="1"/>
  <c r="BI117" i="1"/>
  <c r="BI93" i="1"/>
  <c r="BI140" i="1"/>
  <c r="BI128" i="1"/>
  <c r="BI113" i="1"/>
  <c r="BI99" i="1"/>
  <c r="BI98" i="1"/>
  <c r="BI94" i="1"/>
  <c r="BI137" i="1"/>
  <c r="BI115" i="1"/>
  <c r="BI112" i="1"/>
  <c r="BI121" i="1"/>
  <c r="BI106" i="1"/>
  <c r="BI102" i="1"/>
  <c r="BI101" i="1"/>
  <c r="BI97" i="1"/>
  <c r="BI95" i="1"/>
  <c r="BI90" i="1"/>
  <c r="BI142" i="1"/>
  <c r="BI148" i="1"/>
  <c r="BI141" i="1"/>
  <c r="BI126" i="1"/>
  <c r="BI111" i="1"/>
  <c r="BI110" i="1"/>
  <c r="BI96" i="1"/>
  <c r="BI145" i="1"/>
  <c r="BI132" i="1"/>
  <c r="BI119" i="1"/>
  <c r="BI146" i="1"/>
  <c r="BI144" i="1"/>
  <c r="BI139" i="1"/>
  <c r="BI138" i="1"/>
  <c r="BI122" i="1"/>
  <c r="BI120" i="1"/>
  <c r="BI114" i="1"/>
  <c r="BI100" i="1"/>
  <c r="BI92" i="1"/>
  <c r="BI89" i="1"/>
  <c r="BI103" i="1"/>
  <c r="BI134" i="1"/>
  <c r="BI127" i="1"/>
  <c r="BI104" i="1"/>
  <c r="BI124" i="1"/>
  <c r="BI143" i="1"/>
  <c r="BI135" i="1"/>
  <c r="BI130" i="1"/>
  <c r="BI129" i="1"/>
  <c r="BI118" i="1"/>
  <c r="BI109" i="1"/>
  <c r="BI107" i="1"/>
  <c r="BF92" i="1"/>
  <c r="BF103" i="1"/>
  <c r="BF137" i="1"/>
  <c r="BF117" i="1"/>
  <c r="BF90" i="1"/>
  <c r="BF119" i="1"/>
  <c r="BF116" i="1"/>
  <c r="BF95" i="1"/>
  <c r="BF112" i="1"/>
  <c r="BF94" i="1"/>
  <c r="BF129" i="1"/>
  <c r="BF122" i="1"/>
  <c r="BF126" i="1"/>
  <c r="BF109" i="1"/>
  <c r="BF97" i="1"/>
  <c r="BF100" i="1"/>
  <c r="BF140" i="1"/>
  <c r="BF130" i="1"/>
  <c r="BF139" i="1"/>
  <c r="BF148" i="1"/>
  <c r="BF114" i="1"/>
  <c r="BF132" i="1"/>
  <c r="BF123" i="1"/>
  <c r="BF145" i="1"/>
  <c r="BF107" i="1"/>
  <c r="BF105" i="1"/>
  <c r="BF138" i="1"/>
  <c r="BF101" i="1"/>
  <c r="BF141" i="1"/>
  <c r="BG140" i="1"/>
  <c r="BG132" i="1"/>
  <c r="BG129" i="1"/>
  <c r="BG112" i="1"/>
  <c r="BG137" i="1"/>
  <c r="BG116" i="1"/>
  <c r="BG145" i="1"/>
  <c r="BG117" i="1"/>
  <c r="BG95" i="1"/>
  <c r="BG123" i="1"/>
  <c r="BG130" i="1"/>
  <c r="BG139" i="1"/>
  <c r="BG119" i="1"/>
  <c r="BG114" i="1"/>
  <c r="BG94" i="1"/>
  <c r="BG90" i="1"/>
  <c r="BG141" i="1"/>
  <c r="BG109" i="1"/>
  <c r="BG138" i="1"/>
  <c r="BG126" i="1"/>
  <c r="BG148" i="1"/>
  <c r="BG122" i="1"/>
  <c r="BG92" i="1"/>
  <c r="BG105" i="1"/>
  <c r="BG97" i="1"/>
  <c r="BG103" i="1"/>
  <c r="BG100" i="1"/>
  <c r="BG101" i="1"/>
  <c r="BG107" i="1"/>
  <c r="CO70" i="1"/>
  <c r="CO63" i="1"/>
  <c r="CO84" i="1"/>
  <c r="CO88" i="1"/>
  <c r="CO74" i="1"/>
  <c r="CO68" i="1"/>
  <c r="CO58" i="1"/>
  <c r="CO60" i="1"/>
  <c r="CO87" i="1"/>
  <c r="CO79" i="1"/>
  <c r="CO54" i="1"/>
  <c r="CO61" i="1"/>
  <c r="CO85" i="1"/>
  <c r="CO69" i="1"/>
  <c r="CO55" i="1"/>
  <c r="CO72" i="1"/>
  <c r="CO57" i="1"/>
  <c r="CO67" i="1"/>
  <c r="CO59" i="1"/>
  <c r="CO66" i="1"/>
  <c r="CO83" i="1"/>
  <c r="CO65" i="1"/>
  <c r="CO71" i="1"/>
  <c r="CO82" i="1"/>
  <c r="CO73" i="1"/>
  <c r="CO75" i="1"/>
  <c r="CO64" i="1"/>
  <c r="CO56" i="1"/>
  <c r="CO62" i="1"/>
  <c r="CO77" i="1"/>
  <c r="CO78" i="1"/>
  <c r="CO76" i="1"/>
  <c r="CO86" i="1"/>
  <c r="CO81" i="1"/>
  <c r="CO80" i="1"/>
  <c r="CP100" i="1"/>
  <c r="CP142" i="1"/>
  <c r="CP144" i="1"/>
  <c r="CP114" i="1"/>
  <c r="CP122" i="1"/>
  <c r="CP136" i="1"/>
  <c r="CP133" i="1"/>
  <c r="CP118" i="1"/>
  <c r="CP127" i="1"/>
  <c r="CP141" i="1"/>
  <c r="CP125" i="1"/>
  <c r="CP115" i="1"/>
  <c r="CP92" i="1"/>
  <c r="CP134" i="1"/>
  <c r="CP109" i="1"/>
  <c r="CP120" i="1"/>
  <c r="CP117" i="1"/>
  <c r="CP111" i="1"/>
  <c r="CP147" i="1"/>
  <c r="CP138" i="1"/>
  <c r="CP143" i="1"/>
  <c r="CP103" i="1"/>
  <c r="CP129" i="1"/>
  <c r="CP101" i="1"/>
  <c r="CP113" i="1"/>
  <c r="CP137" i="1"/>
  <c r="CP116" i="1"/>
  <c r="CP119" i="1"/>
  <c r="CP105" i="1"/>
  <c r="CP112" i="1"/>
  <c r="CP145" i="1"/>
  <c r="CP107" i="1"/>
  <c r="CP91" i="1"/>
  <c r="CP108" i="1"/>
  <c r="CP89" i="1"/>
  <c r="CP139" i="1"/>
  <c r="CP140" i="1"/>
  <c r="CP123" i="1"/>
  <c r="CP146" i="1"/>
  <c r="CP121" i="1"/>
  <c r="CP128" i="1"/>
  <c r="CP131" i="1"/>
  <c r="CP130" i="1"/>
  <c r="CP126" i="1"/>
  <c r="CP124" i="1"/>
  <c r="CP106" i="1"/>
  <c r="CP110" i="1"/>
  <c r="CP148" i="1"/>
  <c r="CP135" i="1"/>
  <c r="CP94" i="1"/>
  <c r="CP90" i="1"/>
  <c r="CP132" i="1"/>
  <c r="CP104" i="1"/>
  <c r="CP97" i="1"/>
  <c r="CP93" i="1"/>
  <c r="CP102" i="1"/>
  <c r="CP99" i="1"/>
  <c r="CP95" i="1"/>
  <c r="CP98" i="1"/>
  <c r="CP96" i="1"/>
  <c r="CL101" i="1"/>
  <c r="CL106" i="1"/>
  <c r="CL142" i="1"/>
  <c r="CL105" i="1"/>
  <c r="CL132" i="1"/>
  <c r="CL138" i="1"/>
  <c r="CL107" i="1"/>
  <c r="CL129" i="1"/>
  <c r="CL109" i="1"/>
  <c r="CL127" i="1"/>
  <c r="CL110" i="1"/>
  <c r="CL125" i="1"/>
  <c r="CL90" i="1"/>
  <c r="CL108" i="1"/>
  <c r="CL137" i="1"/>
  <c r="CL123" i="1"/>
  <c r="CL89" i="1"/>
  <c r="CL120" i="1"/>
  <c r="CL104" i="1"/>
  <c r="CL146" i="1"/>
  <c r="CL139" i="1"/>
  <c r="CL140" i="1"/>
  <c r="CL136" i="1"/>
  <c r="CL141" i="1"/>
  <c r="CL119" i="1"/>
  <c r="CL131" i="1"/>
  <c r="CL134" i="1"/>
  <c r="CL118" i="1"/>
  <c r="CL133" i="1"/>
  <c r="CL117" i="1"/>
  <c r="CL145" i="1"/>
  <c r="CL97" i="1"/>
  <c r="CL116" i="1"/>
  <c r="CL148" i="1"/>
  <c r="CL144" i="1"/>
  <c r="CL130" i="1"/>
  <c r="CL135" i="1"/>
  <c r="CL128" i="1"/>
  <c r="CL122" i="1"/>
  <c r="CL103" i="1"/>
  <c r="CL91" i="1"/>
  <c r="CL115" i="1"/>
  <c r="CL147" i="1"/>
  <c r="CL124" i="1"/>
  <c r="CL111" i="1"/>
  <c r="CL98" i="1"/>
  <c r="CL114" i="1"/>
  <c r="CL99" i="1"/>
  <c r="CL143" i="1"/>
  <c r="CL113" i="1"/>
  <c r="CL102" i="1"/>
  <c r="CL126" i="1"/>
  <c r="CL112" i="1"/>
  <c r="CL95" i="1"/>
  <c r="CL100" i="1"/>
  <c r="CL121" i="1"/>
  <c r="CL96" i="1"/>
  <c r="CL94" i="1"/>
  <c r="CL93" i="1"/>
  <c r="CL92" i="1"/>
  <c r="CK123" i="1"/>
  <c r="CK145" i="1"/>
  <c r="CK140" i="1"/>
  <c r="CK134" i="1"/>
  <c r="CK129" i="1"/>
  <c r="CK120" i="1"/>
  <c r="CK109" i="1"/>
  <c r="CK141" i="1"/>
  <c r="CK119" i="1"/>
  <c r="CK136" i="1"/>
  <c r="CK125" i="1"/>
  <c r="CK128" i="1"/>
  <c r="CK127" i="1"/>
  <c r="CK122" i="1"/>
  <c r="CK124" i="1"/>
  <c r="CK108" i="1"/>
  <c r="CK121" i="1"/>
  <c r="CK107" i="1"/>
  <c r="CK106" i="1"/>
  <c r="CK103" i="1"/>
  <c r="CK95" i="1"/>
  <c r="CK101" i="1"/>
  <c r="CK98" i="1"/>
  <c r="CK148" i="1"/>
  <c r="CK146" i="1"/>
  <c r="CK138" i="1"/>
  <c r="CK118" i="1"/>
  <c r="CK117" i="1"/>
  <c r="CK116" i="1"/>
  <c r="CK115" i="1"/>
  <c r="CK114" i="1"/>
  <c r="CK113" i="1"/>
  <c r="CK112" i="1"/>
  <c r="CK143" i="1"/>
  <c r="CK110" i="1"/>
  <c r="CK132" i="1"/>
  <c r="CK105" i="1"/>
  <c r="CK99" i="1"/>
  <c r="CK93" i="1"/>
  <c r="CK91" i="1"/>
  <c r="CK90" i="1"/>
  <c r="CK144" i="1"/>
  <c r="CK89" i="1"/>
  <c r="CK142" i="1"/>
  <c r="CK137" i="1"/>
  <c r="CK126" i="1"/>
  <c r="CK139" i="1"/>
  <c r="CK135" i="1"/>
  <c r="CK131" i="1"/>
  <c r="CK100" i="1"/>
  <c r="CK97" i="1"/>
  <c r="CK104" i="1"/>
  <c r="CK94" i="1"/>
  <c r="CK133" i="1"/>
  <c r="CK130" i="1"/>
  <c r="CK96" i="1"/>
  <c r="CK111" i="1"/>
  <c r="CK102" i="1"/>
  <c r="CK147" i="1"/>
  <c r="CK92" i="1"/>
  <c r="CO129" i="1"/>
  <c r="CO120" i="1"/>
  <c r="CO112" i="1"/>
  <c r="CO99" i="1"/>
  <c r="CO146" i="1"/>
  <c r="CO109" i="1"/>
  <c r="CO108" i="1"/>
  <c r="CO97" i="1"/>
  <c r="CO100" i="1"/>
  <c r="CO125" i="1"/>
  <c r="CO131" i="1"/>
  <c r="CO89" i="1"/>
  <c r="CO102" i="1"/>
  <c r="CO110" i="1"/>
  <c r="CO91" i="1"/>
  <c r="CO140" i="1"/>
  <c r="CO95" i="1"/>
  <c r="CO128" i="1"/>
  <c r="CO96" i="1"/>
  <c r="CO106" i="1"/>
  <c r="CO103" i="1"/>
  <c r="CO105" i="1"/>
  <c r="CO98" i="1"/>
  <c r="CO107" i="1"/>
  <c r="CO111" i="1"/>
  <c r="CO144" i="1"/>
  <c r="CO113" i="1"/>
  <c r="CO114" i="1"/>
  <c r="CO115" i="1"/>
  <c r="CO148" i="1"/>
  <c r="CO116" i="1"/>
  <c r="CO117" i="1"/>
  <c r="CO143" i="1"/>
  <c r="CO118" i="1"/>
  <c r="CO119" i="1"/>
  <c r="CO92" i="1"/>
  <c r="CO145" i="1"/>
  <c r="CO93" i="1"/>
  <c r="CO142" i="1"/>
  <c r="CO135" i="1"/>
  <c r="CO139" i="1"/>
  <c r="CO122" i="1"/>
  <c r="CO126" i="1"/>
  <c r="CO136" i="1"/>
  <c r="CO121" i="1"/>
  <c r="CO133" i="1"/>
  <c r="CO138" i="1"/>
  <c r="CO101" i="1"/>
  <c r="CO104" i="1"/>
  <c r="CO141" i="1"/>
  <c r="CO90" i="1"/>
  <c r="CO130" i="1"/>
  <c r="CO137" i="1"/>
  <c r="CO127" i="1"/>
  <c r="CO94" i="1"/>
  <c r="CO134" i="1"/>
  <c r="CO124" i="1"/>
  <c r="CO147" i="1"/>
  <c r="CO123" i="1"/>
  <c r="CO132" i="1"/>
  <c r="BF152" i="1"/>
  <c r="BF153" i="1"/>
  <c r="BF149" i="1"/>
  <c r="BF155" i="1"/>
  <c r="BI153" i="1"/>
  <c r="BI150" i="1"/>
  <c r="BI149" i="1"/>
  <c r="BI154" i="1"/>
  <c r="BI156" i="1"/>
  <c r="BI155" i="1"/>
  <c r="BI152" i="1"/>
  <c r="BI151" i="1"/>
  <c r="BG150" i="1"/>
  <c r="BG156" i="1"/>
  <c r="BG154" i="1"/>
  <c r="BG151" i="1"/>
  <c r="CO152" i="1"/>
  <c r="CO149" i="1"/>
  <c r="CO153" i="1"/>
  <c r="CO150" i="1"/>
  <c r="CO156" i="1"/>
  <c r="CO155" i="1"/>
  <c r="CO154" i="1"/>
  <c r="CO151" i="1"/>
  <c r="BF151" i="1"/>
  <c r="BF150" i="1"/>
  <c r="BF154" i="1"/>
  <c r="BF156" i="1"/>
  <c r="CK150" i="1"/>
  <c r="CK151" i="1"/>
  <c r="CK152" i="1"/>
  <c r="CK149" i="1"/>
  <c r="CK153" i="1"/>
  <c r="CK156" i="1"/>
  <c r="CK155" i="1"/>
  <c r="CK154" i="1"/>
  <c r="CL150" i="1"/>
  <c r="CL154" i="1"/>
  <c r="CL153" i="1"/>
  <c r="CL149" i="1"/>
  <c r="CL156" i="1"/>
  <c r="CL152" i="1"/>
  <c r="CL151" i="1"/>
  <c r="CL155" i="1"/>
  <c r="BG152" i="1"/>
  <c r="BG153" i="1"/>
  <c r="BG149" i="1"/>
  <c r="BG155" i="1"/>
  <c r="CP152" i="1"/>
  <c r="CP149" i="1"/>
  <c r="CP153" i="1"/>
  <c r="CP151" i="1"/>
  <c r="CP156" i="1"/>
  <c r="CP155" i="1"/>
  <c r="CP154" i="1"/>
  <c r="CP150" i="1"/>
  <c r="BF163" i="1"/>
  <c r="BF158" i="1"/>
  <c r="BF162" i="1"/>
  <c r="BF165" i="1"/>
  <c r="BF167" i="1"/>
  <c r="BF159" i="1"/>
  <c r="BI166" i="1"/>
  <c r="BI165" i="1"/>
  <c r="BI157" i="1"/>
  <c r="BI167" i="1"/>
  <c r="BI161" i="1"/>
  <c r="BI159" i="1"/>
  <c r="BI168" i="1"/>
  <c r="BI162" i="1"/>
  <c r="BI160" i="1"/>
  <c r="BI163" i="1"/>
  <c r="BI164" i="1"/>
  <c r="BI158" i="1"/>
  <c r="BG157" i="1"/>
  <c r="BG164" i="1"/>
  <c r="BG166" i="1"/>
  <c r="BG161" i="1"/>
  <c r="BG168" i="1"/>
  <c r="BG160" i="1"/>
  <c r="CO163" i="1"/>
  <c r="CO157" i="1"/>
  <c r="CO165" i="1"/>
  <c r="CO164" i="1"/>
  <c r="CO166" i="1"/>
  <c r="CO160" i="1"/>
  <c r="CO158" i="1"/>
  <c r="CO167" i="1"/>
  <c r="CO161" i="1"/>
  <c r="CO159" i="1"/>
  <c r="CO168" i="1"/>
  <c r="CO162" i="1"/>
  <c r="BF160" i="1"/>
  <c r="BF157" i="1"/>
  <c r="BF164" i="1"/>
  <c r="BF166" i="1"/>
  <c r="BF161" i="1"/>
  <c r="BF168" i="1"/>
  <c r="CK162" i="1"/>
  <c r="CK161" i="1"/>
  <c r="CK163" i="1"/>
  <c r="CK157" i="1"/>
  <c r="CK159" i="1"/>
  <c r="CK165" i="1"/>
  <c r="CK164" i="1"/>
  <c r="CK166" i="1"/>
  <c r="CK160" i="1"/>
  <c r="CK158" i="1"/>
  <c r="CK167" i="1"/>
  <c r="CK168" i="1"/>
  <c r="CL165" i="1"/>
  <c r="CL168" i="1"/>
  <c r="CL166" i="1"/>
  <c r="CL158" i="1"/>
  <c r="CL159" i="1"/>
  <c r="CL162" i="1"/>
  <c r="CL164" i="1"/>
  <c r="CL161" i="1"/>
  <c r="CL157" i="1"/>
  <c r="CL167" i="1"/>
  <c r="CL163" i="1"/>
  <c r="CL160" i="1"/>
  <c r="BG158" i="1"/>
  <c r="BG165" i="1"/>
  <c r="BG167" i="1"/>
  <c r="BG159" i="1"/>
  <c r="BG162" i="1"/>
  <c r="BG163" i="1"/>
  <c r="CP165" i="1"/>
  <c r="CP164" i="1"/>
  <c r="CP166" i="1"/>
  <c r="CP160" i="1"/>
  <c r="CP158" i="1"/>
  <c r="CP167" i="1"/>
  <c r="CP161" i="1"/>
  <c r="CP159" i="1"/>
  <c r="CP168" i="1"/>
  <c r="CP162" i="1"/>
  <c r="CP163" i="1"/>
  <c r="CP157" i="1"/>
  <c r="BF173" i="1"/>
  <c r="BF170" i="1"/>
  <c r="BF171" i="1"/>
  <c r="BI173" i="1"/>
  <c r="BI169" i="1"/>
  <c r="BI174" i="1"/>
  <c r="BI170" i="1"/>
  <c r="BI171" i="1"/>
  <c r="BI172" i="1"/>
  <c r="BG172" i="1"/>
  <c r="BG169" i="1"/>
  <c r="BG174" i="1"/>
  <c r="CO172" i="1"/>
  <c r="CO173" i="1"/>
  <c r="CO169" i="1"/>
  <c r="CO174" i="1"/>
  <c r="CO170" i="1"/>
  <c r="CO171" i="1"/>
  <c r="BF172" i="1"/>
  <c r="BF169" i="1"/>
  <c r="BF174" i="1"/>
  <c r="CK171" i="1"/>
  <c r="CK172" i="1"/>
  <c r="CK173" i="1"/>
  <c r="CK169" i="1"/>
  <c r="CK174" i="1"/>
  <c r="CK170" i="1"/>
  <c r="CL169" i="1"/>
  <c r="CL173" i="1"/>
  <c r="CL172" i="1"/>
  <c r="CL171" i="1"/>
  <c r="CL170" i="1"/>
  <c r="CL174" i="1"/>
  <c r="BG173" i="1"/>
  <c r="BG170" i="1"/>
  <c r="BG171" i="1"/>
  <c r="CP172" i="1"/>
  <c r="CP173" i="1"/>
  <c r="CP169" i="1"/>
  <c r="CP174" i="1"/>
  <c r="CP170" i="1"/>
  <c r="CP171" i="1"/>
  <c r="BF182" i="1"/>
  <c r="BF177" i="1"/>
  <c r="BF179" i="1"/>
  <c r="BF176" i="1"/>
  <c r="BI179" i="1"/>
  <c r="BI175" i="1"/>
  <c r="BI180" i="1"/>
  <c r="BI178" i="1"/>
  <c r="BI176" i="1"/>
  <c r="BI177" i="1"/>
  <c r="BG181" i="1"/>
  <c r="BG175" i="1"/>
  <c r="BG180" i="1"/>
  <c r="BG178" i="1"/>
  <c r="CO178" i="1"/>
  <c r="CO179" i="1"/>
  <c r="CO177" i="1"/>
  <c r="CO180" i="1"/>
  <c r="CO175" i="1"/>
  <c r="CO176" i="1"/>
  <c r="BF181" i="1"/>
  <c r="BF175" i="1"/>
  <c r="BF180" i="1"/>
  <c r="BF178" i="1"/>
  <c r="CK176" i="1"/>
  <c r="CK178" i="1"/>
  <c r="CK180" i="1"/>
  <c r="CK175" i="1"/>
  <c r="CK179" i="1"/>
  <c r="CK177" i="1"/>
  <c r="CL176" i="1"/>
  <c r="CL177" i="1"/>
  <c r="CL178" i="1"/>
  <c r="CL180" i="1"/>
  <c r="CL175" i="1"/>
  <c r="CL179" i="1"/>
  <c r="BG182" i="1"/>
  <c r="BG179" i="1"/>
  <c r="BG177" i="1"/>
  <c r="BG176" i="1"/>
  <c r="CP178" i="1"/>
  <c r="CP179" i="1"/>
  <c r="CP177" i="1"/>
  <c r="CP180" i="1"/>
  <c r="CP175" i="1"/>
  <c r="CP176" i="1"/>
  <c r="BI181" i="1"/>
  <c r="BI182" i="1"/>
  <c r="CO181" i="1"/>
  <c r="CO182" i="1"/>
  <c r="CK181" i="1"/>
  <c r="CK182" i="1"/>
  <c r="CL181" i="1"/>
  <c r="CL182" i="1"/>
  <c r="CP181" i="1"/>
  <c r="CP182" i="1"/>
  <c r="BF188" i="1"/>
  <c r="BF184" i="1"/>
  <c r="BF185" i="1"/>
  <c r="BI184" i="1"/>
  <c r="BI185" i="1"/>
  <c r="BI183" i="1"/>
  <c r="BI186" i="1"/>
  <c r="BG187" i="1"/>
  <c r="BG186" i="1"/>
  <c r="BG183" i="1"/>
  <c r="CO186" i="1"/>
  <c r="CO183" i="1"/>
  <c r="CO184" i="1"/>
  <c r="CO185" i="1"/>
  <c r="BF187" i="1"/>
  <c r="BF186" i="1"/>
  <c r="BF183" i="1"/>
  <c r="CK185" i="1"/>
  <c r="CK183" i="1"/>
  <c r="CK184" i="1"/>
  <c r="CK186" i="1"/>
  <c r="CL184" i="1"/>
  <c r="CL186" i="1"/>
  <c r="CL183" i="1"/>
  <c r="CL185" i="1"/>
  <c r="BG188" i="1"/>
  <c r="BG184" i="1"/>
  <c r="BG185" i="1"/>
  <c r="CP183" i="1"/>
  <c r="CP184" i="1"/>
  <c r="CP186" i="1"/>
  <c r="CP185" i="1"/>
  <c r="BI187" i="1"/>
  <c r="BI188" i="1"/>
  <c r="CO187" i="1"/>
  <c r="CO188" i="1"/>
  <c r="CK187" i="1"/>
  <c r="CK188" i="1"/>
  <c r="CL188" i="1"/>
  <c r="CL187" i="1"/>
  <c r="CP187" i="1"/>
  <c r="CP188" i="1"/>
  <c r="BI196" i="1"/>
  <c r="BI194" i="1"/>
  <c r="BI190" i="1"/>
  <c r="BI205" i="1"/>
  <c r="BI203" i="1"/>
  <c r="BI201" i="1"/>
  <c r="BI199" i="1"/>
  <c r="BI197" i="1"/>
  <c r="BI195" i="1"/>
  <c r="BI193" i="1"/>
  <c r="BI192" i="1"/>
  <c r="BI191" i="1"/>
  <c r="BI189" i="1"/>
  <c r="BI204" i="1"/>
  <c r="BI202" i="1"/>
  <c r="BI200" i="1"/>
  <c r="BI198" i="1"/>
  <c r="CO189" i="1"/>
  <c r="CO204" i="1"/>
  <c r="CO202" i="1"/>
  <c r="CO200" i="1"/>
  <c r="CO198" i="1"/>
  <c r="CO196" i="1"/>
  <c r="CO194" i="1"/>
  <c r="CO192" i="1"/>
  <c r="CO191" i="1"/>
  <c r="CO190" i="1"/>
  <c r="CO205" i="1"/>
  <c r="CO203" i="1"/>
  <c r="CO201" i="1"/>
  <c r="CO199" i="1"/>
  <c r="CO197" i="1"/>
  <c r="CO195" i="1"/>
  <c r="CO193" i="1"/>
  <c r="CK203" i="1"/>
  <c r="CK201" i="1"/>
  <c r="CK199" i="1"/>
  <c r="CK197" i="1"/>
  <c r="CK195" i="1"/>
  <c r="CK193" i="1"/>
  <c r="CK189" i="1"/>
  <c r="CK204" i="1"/>
  <c r="CK202" i="1"/>
  <c r="CK200" i="1"/>
  <c r="CK198" i="1"/>
  <c r="CK196" i="1"/>
  <c r="CK194" i="1"/>
  <c r="CK192" i="1"/>
  <c r="CK191" i="1"/>
  <c r="CK190" i="1"/>
  <c r="CK205" i="1"/>
  <c r="CL194" i="1"/>
  <c r="CL191" i="1"/>
  <c r="CL205" i="1"/>
  <c r="CL196" i="1"/>
  <c r="CL192" i="1"/>
  <c r="CL190" i="1"/>
  <c r="CL198" i="1"/>
  <c r="CL193" i="1"/>
  <c r="CL200" i="1"/>
  <c r="CL195" i="1"/>
  <c r="CL202" i="1"/>
  <c r="CL197" i="1"/>
  <c r="CL204" i="1"/>
  <c r="CL199" i="1"/>
  <c r="CL201" i="1"/>
  <c r="CL189" i="1"/>
  <c r="CL203" i="1"/>
  <c r="CP204" i="1"/>
  <c r="CP202" i="1"/>
  <c r="CP200" i="1"/>
  <c r="CP198" i="1"/>
  <c r="CP196" i="1"/>
  <c r="CP194" i="1"/>
  <c r="CP192" i="1"/>
  <c r="CP191" i="1"/>
  <c r="CP190" i="1"/>
  <c r="CP205" i="1"/>
  <c r="CP203" i="1"/>
  <c r="CP201" i="1"/>
  <c r="CP199" i="1"/>
  <c r="CP197" i="1"/>
  <c r="CP195" i="1"/>
  <c r="CP193" i="1"/>
  <c r="CP189" i="1"/>
  <c r="BG199" i="1"/>
  <c r="BG197" i="1"/>
  <c r="BG202" i="1"/>
  <c r="BG204" i="1"/>
  <c r="BG193" i="1"/>
  <c r="BG191" i="1"/>
  <c r="BG195" i="1"/>
  <c r="BG190" i="1"/>
  <c r="BF191" i="1"/>
  <c r="BF190" i="1"/>
  <c r="BF199" i="1"/>
  <c r="BF197" i="1"/>
  <c r="BF195" i="1"/>
  <c r="BF202" i="1"/>
  <c r="BF204" i="1"/>
  <c r="BF193" i="1"/>
  <c r="BG201" i="1"/>
  <c r="BG196" i="1"/>
  <c r="BG203" i="1"/>
  <c r="BG200" i="1"/>
  <c r="BG198" i="1"/>
  <c r="BG205" i="1"/>
  <c r="BG194" i="1"/>
  <c r="BG192" i="1"/>
  <c r="BG189" i="1"/>
  <c r="BF201" i="1"/>
  <c r="BF196" i="1"/>
  <c r="BF203" i="1"/>
  <c r="BF200" i="1"/>
  <c r="BF198" i="1"/>
  <c r="BF205" i="1"/>
  <c r="BF194" i="1"/>
  <c r="BF192" i="1"/>
  <c r="BF189" i="1"/>
  <c r="BG212" i="1"/>
  <c r="BG208" i="1"/>
  <c r="BG210" i="1"/>
  <c r="BG207" i="1"/>
  <c r="CP209" i="1"/>
  <c r="CP210" i="1"/>
  <c r="CP208" i="1"/>
  <c r="CP206" i="1"/>
  <c r="CP207" i="1"/>
  <c r="BF208" i="1"/>
  <c r="BF210" i="1"/>
  <c r="BF207" i="1"/>
  <c r="BI210" i="1"/>
  <c r="BI206" i="1"/>
  <c r="BI209" i="1"/>
  <c r="BI207" i="1"/>
  <c r="BI208" i="1"/>
  <c r="BG206" i="1"/>
  <c r="BG209" i="1"/>
  <c r="BF206" i="1"/>
  <c r="BF209" i="1"/>
  <c r="CO209" i="1"/>
  <c r="CO210" i="1"/>
  <c r="CO208" i="1"/>
  <c r="CO206" i="1"/>
  <c r="CO207" i="1"/>
  <c r="CK207" i="1"/>
  <c r="CK209" i="1"/>
  <c r="CK210" i="1"/>
  <c r="CK208" i="1"/>
  <c r="CK206" i="1"/>
  <c r="CL208" i="1"/>
  <c r="CL207" i="1"/>
  <c r="CL209" i="1"/>
  <c r="CL206" i="1"/>
  <c r="CL210" i="1"/>
  <c r="CP211" i="1"/>
  <c r="CP212" i="1"/>
  <c r="BF216" i="1"/>
  <c r="BF212" i="1"/>
  <c r="BI211" i="1"/>
  <c r="BI212" i="1"/>
  <c r="BG213" i="1"/>
  <c r="BG211" i="1"/>
  <c r="CO211" i="1"/>
  <c r="CO212" i="1"/>
  <c r="BF213" i="1"/>
  <c r="BF211" i="1"/>
  <c r="CK211" i="1"/>
  <c r="CK212" i="1"/>
  <c r="CL212" i="1"/>
  <c r="CL211" i="1"/>
  <c r="BG216" i="1"/>
  <c r="BI214" i="1"/>
  <c r="BI213" i="1"/>
  <c r="CO214" i="1"/>
  <c r="CO213" i="1"/>
  <c r="CK214" i="1"/>
  <c r="CK213" i="1"/>
  <c r="CL214" i="1"/>
  <c r="CL213" i="1"/>
  <c r="CP214" i="1"/>
  <c r="CP213" i="1"/>
  <c r="BG215" i="1"/>
  <c r="BG214" i="1"/>
  <c r="BF215" i="1"/>
  <c r="BF214" i="1"/>
  <c r="BI215" i="1"/>
  <c r="BI216" i="1"/>
  <c r="CO215" i="1"/>
  <c r="CO216" i="1"/>
  <c r="CK215" i="1"/>
  <c r="CK216" i="1"/>
  <c r="CL216" i="1"/>
  <c r="CL215" i="1"/>
  <c r="CP215" i="1"/>
  <c r="CP216" i="1"/>
  <c r="BI218" i="1"/>
  <c r="BI217" i="1"/>
  <c r="BG218" i="1"/>
  <c r="BG217" i="1"/>
  <c r="CO218" i="1"/>
  <c r="CO217" i="1"/>
  <c r="BF218" i="1"/>
  <c r="BF217" i="1"/>
  <c r="CK218" i="1"/>
  <c r="CK217" i="1"/>
  <c r="CL218" i="1"/>
  <c r="CL217" i="1"/>
  <c r="CP218" i="1"/>
  <c r="CP217" i="1"/>
  <c r="BI222" i="1"/>
  <c r="BI220" i="1"/>
  <c r="BI219" i="1"/>
  <c r="BI221" i="1"/>
  <c r="BF221" i="1"/>
  <c r="BF220" i="1"/>
  <c r="BG222" i="1"/>
  <c r="BG219" i="1"/>
  <c r="CO222" i="1"/>
  <c r="CO221" i="1"/>
  <c r="CO219" i="1"/>
  <c r="CO220" i="1"/>
  <c r="BF222" i="1"/>
  <c r="BF219" i="1"/>
  <c r="CK222" i="1"/>
  <c r="CK220" i="1"/>
  <c r="CK221" i="1"/>
  <c r="CK219" i="1"/>
  <c r="CL222" i="1"/>
  <c r="CL221" i="1"/>
  <c r="CL219" i="1"/>
  <c r="CL220" i="1"/>
  <c r="BG221" i="1"/>
  <c r="BG220" i="1"/>
  <c r="CP222" i="1"/>
  <c r="CP221" i="1"/>
  <c r="CP219" i="1"/>
  <c r="CP220" i="1"/>
  <c r="BF227" i="1"/>
  <c r="BF229" i="1"/>
  <c r="BF224" i="1"/>
  <c r="BF225" i="1"/>
  <c r="BI228" i="1"/>
  <c r="BI223" i="1"/>
  <c r="BI229" i="1"/>
  <c r="BI226" i="1"/>
  <c r="BI230" i="1"/>
  <c r="BI224" i="1"/>
  <c r="BI225" i="1"/>
  <c r="BI227" i="1"/>
  <c r="BG228" i="1"/>
  <c r="BG223" i="1"/>
  <c r="BG226" i="1"/>
  <c r="BG230" i="1"/>
  <c r="CO226" i="1"/>
  <c r="CO227" i="1"/>
  <c r="CO228" i="1"/>
  <c r="CO225" i="1"/>
  <c r="CO229" i="1"/>
  <c r="CO223" i="1"/>
  <c r="CO224" i="1"/>
  <c r="CO230" i="1"/>
  <c r="BF228" i="1"/>
  <c r="BF223" i="1"/>
  <c r="BF226" i="1"/>
  <c r="BF230" i="1"/>
  <c r="CK226" i="1"/>
  <c r="CK227" i="1"/>
  <c r="CK228" i="1"/>
  <c r="CK225" i="1"/>
  <c r="CK229" i="1"/>
  <c r="CK223" i="1"/>
  <c r="CK224" i="1"/>
  <c r="CK230" i="1"/>
  <c r="CL223" i="1"/>
  <c r="CL229" i="1"/>
  <c r="CL227" i="1"/>
  <c r="CL225" i="1"/>
  <c r="CL224" i="1"/>
  <c r="CL228" i="1"/>
  <c r="CL230" i="1"/>
  <c r="CL226" i="1"/>
  <c r="BG227" i="1"/>
  <c r="BG229" i="1"/>
  <c r="BG224" i="1"/>
  <c r="BG225" i="1"/>
  <c r="CP227" i="1"/>
  <c r="CP228" i="1"/>
  <c r="CP225" i="1"/>
  <c r="CP229" i="1"/>
  <c r="CP223" i="1"/>
  <c r="CP224" i="1"/>
  <c r="CP230" i="1"/>
  <c r="CP226" i="1"/>
  <c r="BF232" i="1"/>
  <c r="BF233" i="1"/>
  <c r="BI232" i="1"/>
  <c r="BI233" i="1"/>
  <c r="BI231" i="1"/>
  <c r="BI234" i="1"/>
  <c r="BG234" i="1"/>
  <c r="BG231" i="1"/>
  <c r="CO231" i="1"/>
  <c r="CO232" i="1"/>
  <c r="CO234" i="1"/>
  <c r="CO233" i="1"/>
  <c r="BF234" i="1"/>
  <c r="BF231" i="1"/>
  <c r="CK233" i="1"/>
  <c r="CK231" i="1"/>
  <c r="CK232" i="1"/>
  <c r="CK234" i="1"/>
  <c r="CL232" i="1"/>
  <c r="CL234" i="1"/>
  <c r="CL231" i="1"/>
  <c r="CL233" i="1"/>
  <c r="BG232" i="1"/>
  <c r="BG233" i="1"/>
  <c r="CP231" i="1"/>
  <c r="CP232" i="1"/>
  <c r="CP234" i="1"/>
  <c r="CP233" i="1"/>
  <c r="BG245" i="1"/>
  <c r="BG241" i="1"/>
  <c r="BG237" i="1"/>
  <c r="BG250" i="1"/>
  <c r="BG243" i="1"/>
  <c r="BG239" i="1"/>
  <c r="BG248" i="1"/>
  <c r="BG236" i="1"/>
  <c r="CP249" i="1"/>
  <c r="CP245" i="1"/>
  <c r="CP241" i="1"/>
  <c r="CP250" i="1"/>
  <c r="CP246" i="1"/>
  <c r="CP242" i="1"/>
  <c r="CP238" i="1"/>
  <c r="CP251" i="1"/>
  <c r="CP247" i="1"/>
  <c r="CP243" i="1"/>
  <c r="CP239" i="1"/>
  <c r="CP237" i="1"/>
  <c r="CP235" i="1"/>
  <c r="CP248" i="1"/>
  <c r="CP244" i="1"/>
  <c r="CP240" i="1"/>
  <c r="CP236" i="1"/>
  <c r="BF248" i="1"/>
  <c r="BF236" i="1"/>
  <c r="BF245" i="1"/>
  <c r="BF241" i="1"/>
  <c r="BF237" i="1"/>
  <c r="BF250" i="1"/>
  <c r="BF243" i="1"/>
  <c r="BF239" i="1"/>
  <c r="BI250" i="1"/>
  <c r="BI246" i="1"/>
  <c r="BI242" i="1"/>
  <c r="BI251" i="1"/>
  <c r="BI247" i="1"/>
  <c r="BI243" i="1"/>
  <c r="BI239" i="1"/>
  <c r="BI235" i="1"/>
  <c r="BI248" i="1"/>
  <c r="BI244" i="1"/>
  <c r="BI240" i="1"/>
  <c r="BI238" i="1"/>
  <c r="BI236" i="1"/>
  <c r="BI249" i="1"/>
  <c r="BI245" i="1"/>
  <c r="BI241" i="1"/>
  <c r="BI237" i="1"/>
  <c r="CL237" i="1"/>
  <c r="CL248" i="1"/>
  <c r="CL250" i="1"/>
  <c r="CL241" i="1"/>
  <c r="CL235" i="1"/>
  <c r="CL245" i="1"/>
  <c r="CL239" i="1"/>
  <c r="CL249" i="1"/>
  <c r="CL243" i="1"/>
  <c r="CL236" i="1"/>
  <c r="CL247" i="1"/>
  <c r="CL238" i="1"/>
  <c r="CL251" i="1"/>
  <c r="CL246" i="1"/>
  <c r="CL240" i="1"/>
  <c r="CL242" i="1"/>
  <c r="CL244" i="1"/>
  <c r="BG249" i="1"/>
  <c r="BG246" i="1"/>
  <c r="BG242" i="1"/>
  <c r="BG251" i="1"/>
  <c r="BG247" i="1"/>
  <c r="BG235" i="1"/>
  <c r="BG244" i="1"/>
  <c r="BG240" i="1"/>
  <c r="BG238" i="1"/>
  <c r="CO248" i="1"/>
  <c r="CO244" i="1"/>
  <c r="CO240" i="1"/>
  <c r="CO236" i="1"/>
  <c r="CO249" i="1"/>
  <c r="CO245" i="1"/>
  <c r="CO241" i="1"/>
  <c r="CO250" i="1"/>
  <c r="CO246" i="1"/>
  <c r="CO242" i="1"/>
  <c r="CO238" i="1"/>
  <c r="CO251" i="1"/>
  <c r="CO247" i="1"/>
  <c r="CO243" i="1"/>
  <c r="CO239" i="1"/>
  <c r="CO237" i="1"/>
  <c r="CO235" i="1"/>
  <c r="BF244" i="1"/>
  <c r="BF240" i="1"/>
  <c r="BF238" i="1"/>
  <c r="BF249" i="1"/>
  <c r="BF246" i="1"/>
  <c r="BF242" i="1"/>
  <c r="BF251" i="1"/>
  <c r="BF247" i="1"/>
  <c r="BF235" i="1"/>
  <c r="CK247" i="1"/>
  <c r="CK243" i="1"/>
  <c r="CK239" i="1"/>
  <c r="CK237" i="1"/>
  <c r="CK235" i="1"/>
  <c r="CK248" i="1"/>
  <c r="CK244" i="1"/>
  <c r="CK240" i="1"/>
  <c r="CK236" i="1"/>
  <c r="CK249" i="1"/>
  <c r="CK245" i="1"/>
  <c r="CK241" i="1"/>
  <c r="CK250" i="1"/>
  <c r="CK246" i="1"/>
  <c r="CK242" i="1"/>
  <c r="CK238" i="1"/>
  <c r="CK251" i="1"/>
  <c r="BG260" i="1"/>
  <c r="BG256" i="1"/>
  <c r="BG253" i="1"/>
  <c r="BG258" i="1"/>
  <c r="BG254" i="1"/>
  <c r="CP259" i="1"/>
  <c r="CP255" i="1"/>
  <c r="CP260" i="1"/>
  <c r="CP256" i="1"/>
  <c r="CP254" i="1"/>
  <c r="CP252" i="1"/>
  <c r="CP261" i="1"/>
  <c r="CP257" i="1"/>
  <c r="CP253" i="1"/>
  <c r="CP258" i="1"/>
  <c r="BF258" i="1"/>
  <c r="BF254" i="1"/>
  <c r="BF260" i="1"/>
  <c r="BF256" i="1"/>
  <c r="BF253" i="1"/>
  <c r="BI260" i="1"/>
  <c r="BI256" i="1"/>
  <c r="BI252" i="1"/>
  <c r="BI261" i="1"/>
  <c r="BI257" i="1"/>
  <c r="BI255" i="1"/>
  <c r="BI253" i="1"/>
  <c r="BI258" i="1"/>
  <c r="BI254" i="1"/>
  <c r="BI259" i="1"/>
  <c r="CL259" i="1"/>
  <c r="CL256" i="1"/>
  <c r="CL254" i="1"/>
  <c r="CL260" i="1"/>
  <c r="CL258" i="1"/>
  <c r="CL253" i="1"/>
  <c r="CL255" i="1"/>
  <c r="CL257" i="1"/>
  <c r="CL261" i="1"/>
  <c r="CL252" i="1"/>
  <c r="BG262" i="1"/>
  <c r="BG259" i="1"/>
  <c r="BG252" i="1"/>
  <c r="BG261" i="1"/>
  <c r="BG257" i="1"/>
  <c r="BG255" i="1"/>
  <c r="CO258" i="1"/>
  <c r="CO259" i="1"/>
  <c r="CO255" i="1"/>
  <c r="CO260" i="1"/>
  <c r="CO256" i="1"/>
  <c r="CO254" i="1"/>
  <c r="CO252" i="1"/>
  <c r="CO261" i="1"/>
  <c r="CO257" i="1"/>
  <c r="CO253" i="1"/>
  <c r="BF262" i="1"/>
  <c r="BF259" i="1"/>
  <c r="BF252" i="1"/>
  <c r="BF261" i="1"/>
  <c r="BF257" i="1"/>
  <c r="BF255" i="1"/>
  <c r="CK257" i="1"/>
  <c r="CK253" i="1"/>
  <c r="CK258" i="1"/>
  <c r="CK259" i="1"/>
  <c r="CK255" i="1"/>
  <c r="CK260" i="1"/>
  <c r="CK256" i="1"/>
  <c r="CK254" i="1"/>
  <c r="CK252" i="1"/>
  <c r="CK261" i="1"/>
  <c r="BG264" i="1"/>
  <c r="BG263" i="1"/>
  <c r="BF264" i="1"/>
  <c r="BF263" i="1"/>
  <c r="BI264" i="1"/>
  <c r="BI263" i="1"/>
  <c r="BI262" i="1"/>
  <c r="CP264" i="1"/>
  <c r="CP263" i="1"/>
  <c r="CP262" i="1"/>
  <c r="CO263" i="1"/>
  <c r="CO262" i="1"/>
  <c r="CO264" i="1"/>
  <c r="CK263" i="1"/>
  <c r="CK262" i="1"/>
  <c r="CK264" i="1"/>
  <c r="CL262" i="1"/>
  <c r="CL263" i="1"/>
  <c r="CL264" i="1"/>
  <c r="BG268" i="1"/>
  <c r="BG266" i="1"/>
  <c r="CP265" i="1"/>
  <c r="CP266" i="1"/>
  <c r="BF268" i="1"/>
  <c r="BF266" i="1"/>
  <c r="BI266" i="1"/>
  <c r="BI265" i="1"/>
  <c r="BG267" i="1"/>
  <c r="BG265" i="1"/>
  <c r="CO265" i="1"/>
  <c r="CO266" i="1"/>
  <c r="BF267" i="1"/>
  <c r="BF265" i="1"/>
  <c r="CK265" i="1"/>
  <c r="CK266" i="1"/>
  <c r="CL265" i="1"/>
  <c r="CL266" i="1"/>
  <c r="CP267" i="1"/>
  <c r="CP268" i="1"/>
  <c r="BI267" i="1"/>
  <c r="BI268" i="1"/>
  <c r="CO267" i="1"/>
  <c r="CO268" i="1"/>
  <c r="CK267" i="1"/>
  <c r="CK268" i="1"/>
  <c r="CL268" i="1"/>
  <c r="CL267" i="1"/>
  <c r="BF270" i="1"/>
  <c r="BF271" i="1"/>
  <c r="BF275" i="1"/>
  <c r="BF273" i="1"/>
  <c r="BG271" i="1"/>
  <c r="BG275" i="1"/>
  <c r="BG273" i="1"/>
  <c r="BG270" i="1"/>
  <c r="BI275" i="1"/>
  <c r="BI274" i="1"/>
  <c r="BI276" i="1"/>
  <c r="BI273" i="1"/>
  <c r="BI269" i="1"/>
  <c r="BI272" i="1"/>
  <c r="BI270" i="1"/>
  <c r="BI271" i="1"/>
  <c r="CP274" i="1"/>
  <c r="CP273" i="1"/>
  <c r="CP275" i="1"/>
  <c r="CP272" i="1"/>
  <c r="CP276" i="1"/>
  <c r="CP271" i="1"/>
  <c r="CP269" i="1"/>
  <c r="CP270" i="1"/>
  <c r="BG274" i="1"/>
  <c r="BG276" i="1"/>
  <c r="BG269" i="1"/>
  <c r="BG272" i="1"/>
  <c r="CO274" i="1"/>
  <c r="CO273" i="1"/>
  <c r="CO275" i="1"/>
  <c r="CO272" i="1"/>
  <c r="CO276" i="1"/>
  <c r="CO271" i="1"/>
  <c r="CO269" i="1"/>
  <c r="CO270" i="1"/>
  <c r="BF274" i="1"/>
  <c r="BF276" i="1"/>
  <c r="BF269" i="1"/>
  <c r="BF272" i="1"/>
  <c r="CK269" i="1"/>
  <c r="CK270" i="1"/>
  <c r="CK274" i="1"/>
  <c r="CK273" i="1"/>
  <c r="CK275" i="1"/>
  <c r="CK272" i="1"/>
  <c r="CK276" i="1"/>
  <c r="CK271" i="1"/>
  <c r="CL271" i="1"/>
  <c r="CL270" i="1"/>
  <c r="CL272" i="1"/>
  <c r="CL269" i="1"/>
  <c r="CL273" i="1"/>
  <c r="CL276" i="1"/>
  <c r="CL274" i="1"/>
  <c r="CL275" i="1"/>
  <c r="BG281" i="1"/>
  <c r="BG278" i="1"/>
  <c r="BG279" i="1"/>
  <c r="CP283" i="1"/>
  <c r="CP280" i="1"/>
  <c r="CP281" i="1"/>
  <c r="CP279" i="1"/>
  <c r="CP277" i="1"/>
  <c r="CP282" i="1"/>
  <c r="CP278" i="1"/>
  <c r="BF279" i="1"/>
  <c r="BF281" i="1"/>
  <c r="BF278" i="1"/>
  <c r="BI283" i="1"/>
  <c r="BI281" i="1"/>
  <c r="BI277" i="1"/>
  <c r="BI282" i="1"/>
  <c r="BI280" i="1"/>
  <c r="BI278" i="1"/>
  <c r="BI279" i="1"/>
  <c r="BG283" i="1"/>
  <c r="BG277" i="1"/>
  <c r="BG282" i="1"/>
  <c r="BG280" i="1"/>
  <c r="CO283" i="1"/>
  <c r="CO280" i="1"/>
  <c r="CO281" i="1"/>
  <c r="CO279" i="1"/>
  <c r="CO277" i="1"/>
  <c r="CO282" i="1"/>
  <c r="CO278" i="1"/>
  <c r="BF283" i="1"/>
  <c r="BF277" i="1"/>
  <c r="BF282" i="1"/>
  <c r="BF280" i="1"/>
  <c r="CK283" i="1"/>
  <c r="CK278" i="1"/>
  <c r="CK280" i="1"/>
  <c r="CK281" i="1"/>
  <c r="CK279" i="1"/>
  <c r="CK277" i="1"/>
  <c r="CK282" i="1"/>
  <c r="CL283" i="1"/>
  <c r="CL279" i="1"/>
  <c r="CL278" i="1"/>
  <c r="CL280" i="1"/>
  <c r="CL282" i="1"/>
  <c r="CL277" i="1"/>
  <c r="CL281" i="1"/>
  <c r="BF303" i="1"/>
  <c r="BF292" i="1"/>
  <c r="BF286" i="1"/>
  <c r="BF294" i="1"/>
  <c r="BF299" i="1"/>
  <c r="BF297" i="1"/>
  <c r="BF288" i="1"/>
  <c r="BF301" i="1"/>
  <c r="BF290" i="1"/>
  <c r="BF285" i="1"/>
  <c r="BG303" i="1"/>
  <c r="BG292" i="1"/>
  <c r="BG286" i="1"/>
  <c r="BG294" i="1"/>
  <c r="BG299" i="1"/>
  <c r="BG297" i="1"/>
  <c r="BG288" i="1"/>
  <c r="BG301" i="1"/>
  <c r="BG290" i="1"/>
  <c r="BG285" i="1"/>
  <c r="BI294" i="1"/>
  <c r="BI300" i="1"/>
  <c r="BI295" i="1"/>
  <c r="BI299" i="1"/>
  <c r="BI297" i="1"/>
  <c r="BI296" i="1"/>
  <c r="BI288" i="1"/>
  <c r="BI301" i="1"/>
  <c r="BI298" i="1"/>
  <c r="BI291" i="1"/>
  <c r="BI290" i="1"/>
  <c r="BI289" i="1"/>
  <c r="BI287" i="1"/>
  <c r="BI285" i="1"/>
  <c r="BI284" i="1"/>
  <c r="BI293" i="1"/>
  <c r="BI292" i="1"/>
  <c r="BI286" i="1"/>
  <c r="CP293" i="1"/>
  <c r="CP299" i="1"/>
  <c r="CP294" i="1"/>
  <c r="CP298" i="1"/>
  <c r="CP296" i="1"/>
  <c r="CP287" i="1"/>
  <c r="CP300" i="1"/>
  <c r="CP297" i="1"/>
  <c r="CP295" i="1"/>
  <c r="CP301" i="1"/>
  <c r="CP290" i="1"/>
  <c r="CP289" i="1"/>
  <c r="CP288" i="1"/>
  <c r="CP286" i="1"/>
  <c r="CP284" i="1"/>
  <c r="CP292" i="1"/>
  <c r="CP291" i="1"/>
  <c r="CP285" i="1"/>
  <c r="BG302" i="1"/>
  <c r="BG293" i="1"/>
  <c r="BG300" i="1"/>
  <c r="BG295" i="1"/>
  <c r="BG296" i="1"/>
  <c r="BG298" i="1"/>
  <c r="BG291" i="1"/>
  <c r="BG289" i="1"/>
  <c r="BG287" i="1"/>
  <c r="BG284" i="1"/>
  <c r="CO293" i="1"/>
  <c r="CO299" i="1"/>
  <c r="CO294" i="1"/>
  <c r="CO298" i="1"/>
  <c r="CO296" i="1"/>
  <c r="CO287" i="1"/>
  <c r="CO300" i="1"/>
  <c r="CO297" i="1"/>
  <c r="CO295" i="1"/>
  <c r="CO301" i="1"/>
  <c r="CO290" i="1"/>
  <c r="CO289" i="1"/>
  <c r="CO288" i="1"/>
  <c r="CO286" i="1"/>
  <c r="CO284" i="1"/>
  <c r="CO292" i="1"/>
  <c r="CO291" i="1"/>
  <c r="CO285" i="1"/>
  <c r="BF302" i="1"/>
  <c r="BF293" i="1"/>
  <c r="BF300" i="1"/>
  <c r="BF295" i="1"/>
  <c r="BF296" i="1"/>
  <c r="BF298" i="1"/>
  <c r="BF291" i="1"/>
  <c r="BF289" i="1"/>
  <c r="BF287" i="1"/>
  <c r="BF284" i="1"/>
  <c r="CK289" i="1"/>
  <c r="CK284" i="1"/>
  <c r="CK292" i="1"/>
  <c r="CK291" i="1"/>
  <c r="CK285" i="1"/>
  <c r="CK293" i="1"/>
  <c r="CK299" i="1"/>
  <c r="CK294" i="1"/>
  <c r="CK298" i="1"/>
  <c r="CK296" i="1"/>
  <c r="CK287" i="1"/>
  <c r="CK300" i="1"/>
  <c r="CK295" i="1"/>
  <c r="CK301" i="1"/>
  <c r="CK297" i="1"/>
  <c r="CK290" i="1"/>
  <c r="CK288" i="1"/>
  <c r="CK286" i="1"/>
  <c r="CL297" i="1"/>
  <c r="CL289" i="1"/>
  <c r="CL294" i="1"/>
  <c r="CL290" i="1"/>
  <c r="CL295" i="1"/>
  <c r="CL286" i="1"/>
  <c r="CL291" i="1"/>
  <c r="CL300" i="1"/>
  <c r="CL292" i="1"/>
  <c r="CL293" i="1"/>
  <c r="CL298" i="1"/>
  <c r="CL301" i="1"/>
  <c r="CL284" i="1"/>
  <c r="CL288" i="1"/>
  <c r="CL299" i="1"/>
  <c r="CL285" i="1"/>
  <c r="CL296" i="1"/>
  <c r="CL287" i="1"/>
  <c r="CP302" i="1"/>
  <c r="CP303" i="1"/>
  <c r="BI302" i="1"/>
  <c r="BI303" i="1"/>
  <c r="CO302" i="1"/>
  <c r="CO303" i="1"/>
  <c r="CK302" i="1"/>
  <c r="CK303" i="1"/>
  <c r="CL302" i="1"/>
  <c r="CL303" i="1"/>
  <c r="BG306" i="1"/>
  <c r="BG310" i="1"/>
  <c r="BG308" i="1"/>
  <c r="BG312" i="1"/>
  <c r="BG305" i="1"/>
  <c r="BG314" i="1"/>
  <c r="CP310" i="1"/>
  <c r="CP307" i="1"/>
  <c r="CP311" i="1"/>
  <c r="CP304" i="1"/>
  <c r="CP312" i="1"/>
  <c r="CP314" i="1"/>
  <c r="CP313" i="1"/>
  <c r="CP306" i="1"/>
  <c r="CP308" i="1"/>
  <c r="CP305" i="1"/>
  <c r="CP309" i="1"/>
  <c r="BF306" i="1"/>
  <c r="BF310" i="1"/>
  <c r="BF308" i="1"/>
  <c r="BF312" i="1"/>
  <c r="BF305" i="1"/>
  <c r="BF314" i="1"/>
  <c r="BI311" i="1"/>
  <c r="BI308" i="1"/>
  <c r="BI304" i="1"/>
  <c r="BI312" i="1"/>
  <c r="BI305" i="1"/>
  <c r="BI313" i="1"/>
  <c r="BI307" i="1"/>
  <c r="BI314" i="1"/>
  <c r="BI309" i="1"/>
  <c r="BI306" i="1"/>
  <c r="BI310" i="1"/>
  <c r="BG309" i="1"/>
  <c r="BG311" i="1"/>
  <c r="BG304" i="1"/>
  <c r="BG313" i="1"/>
  <c r="BG307" i="1"/>
  <c r="CO309" i="1"/>
  <c r="CO310" i="1"/>
  <c r="CO307" i="1"/>
  <c r="CO311" i="1"/>
  <c r="CO304" i="1"/>
  <c r="CO312" i="1"/>
  <c r="CO314" i="1"/>
  <c r="CO313" i="1"/>
  <c r="CO306" i="1"/>
  <c r="CO308" i="1"/>
  <c r="CO305" i="1"/>
  <c r="BF309" i="1"/>
  <c r="BF311" i="1"/>
  <c r="BF304" i="1"/>
  <c r="BF313" i="1"/>
  <c r="BF307" i="1"/>
  <c r="CK308" i="1"/>
  <c r="CK305" i="1"/>
  <c r="CK309" i="1"/>
  <c r="CK307" i="1"/>
  <c r="CK311" i="1"/>
  <c r="CK310" i="1"/>
  <c r="CK304" i="1"/>
  <c r="CK312" i="1"/>
  <c r="CK314" i="1"/>
  <c r="CK313" i="1"/>
  <c r="CK306" i="1"/>
  <c r="CL310" i="1"/>
  <c r="CL304" i="1"/>
  <c r="CL308" i="1"/>
  <c r="CL311" i="1"/>
  <c r="CL314" i="1"/>
  <c r="CL306" i="1"/>
  <c r="CL307" i="1"/>
  <c r="CL309" i="1"/>
  <c r="CL313" i="1"/>
  <c r="CL305" i="1"/>
  <c r="CL312" i="1"/>
  <c r="BG319" i="1"/>
  <c r="BG317" i="1"/>
  <c r="BG316" i="1"/>
  <c r="CP317" i="1"/>
  <c r="CP315" i="1"/>
  <c r="CP316" i="1"/>
  <c r="BF319" i="1"/>
  <c r="BF316" i="1"/>
  <c r="BF317" i="1"/>
  <c r="BI315" i="1"/>
  <c r="BI316" i="1"/>
  <c r="BI317" i="1"/>
  <c r="BG318" i="1"/>
  <c r="BG315" i="1"/>
  <c r="CO316" i="1"/>
  <c r="CO317" i="1"/>
  <c r="CO315" i="1"/>
  <c r="BF318" i="1"/>
  <c r="BF315" i="1"/>
  <c r="CK315" i="1"/>
  <c r="CK316" i="1"/>
  <c r="CK317" i="1"/>
  <c r="CL317" i="1"/>
  <c r="CL316" i="1"/>
  <c r="CL315" i="1"/>
  <c r="CP318" i="1"/>
  <c r="CP319" i="1"/>
  <c r="BI318" i="1"/>
  <c r="BI319" i="1"/>
  <c r="CO318" i="1"/>
  <c r="CO319" i="1"/>
  <c r="CK318" i="1"/>
  <c r="CK319" i="1"/>
  <c r="CL319" i="1"/>
  <c r="CL318" i="1"/>
  <c r="BF325" i="1"/>
  <c r="BF321" i="1"/>
  <c r="BF322" i="1"/>
  <c r="BG325" i="1"/>
  <c r="BG321" i="1"/>
  <c r="BG322" i="1"/>
  <c r="BI322" i="1"/>
  <c r="BI320" i="1"/>
  <c r="BI323" i="1"/>
  <c r="BI321" i="1"/>
  <c r="CP321" i="1"/>
  <c r="CP323" i="1"/>
  <c r="CP322" i="1"/>
  <c r="CP320" i="1"/>
  <c r="BG324" i="1"/>
  <c r="BG323" i="1"/>
  <c r="BG320" i="1"/>
  <c r="CO321" i="1"/>
  <c r="CO323" i="1"/>
  <c r="CO322" i="1"/>
  <c r="CO320" i="1"/>
  <c r="BF324" i="1"/>
  <c r="BF320" i="1"/>
  <c r="BF323" i="1"/>
  <c r="CK322" i="1"/>
  <c r="CK320" i="1"/>
  <c r="CK321" i="1"/>
  <c r="CK323" i="1"/>
  <c r="CL322" i="1"/>
  <c r="CL321" i="1"/>
  <c r="CL323" i="1"/>
  <c r="CL320" i="1"/>
  <c r="CP325" i="1"/>
  <c r="CP324" i="1"/>
  <c r="BI324" i="1"/>
  <c r="BI325" i="1"/>
  <c r="CL324" i="1"/>
  <c r="CL325" i="1"/>
  <c r="CK325" i="1"/>
  <c r="CK324" i="1"/>
  <c r="CO325" i="1"/>
  <c r="CO324" i="1"/>
  <c r="BG334" i="1"/>
  <c r="BG327" i="1"/>
  <c r="BG332" i="1"/>
  <c r="BG330" i="1"/>
  <c r="BG328" i="1"/>
  <c r="CP331" i="1"/>
  <c r="CP332" i="1"/>
  <c r="CP329" i="1"/>
  <c r="CP328" i="1"/>
  <c r="CP327" i="1"/>
  <c r="CP330" i="1"/>
  <c r="CP326" i="1"/>
  <c r="BF334" i="1"/>
  <c r="BF327" i="1"/>
  <c r="BF332" i="1"/>
  <c r="BF330" i="1"/>
  <c r="BF328" i="1"/>
  <c r="BI327" i="1"/>
  <c r="BI332" i="1"/>
  <c r="BI330" i="1"/>
  <c r="BI329" i="1"/>
  <c r="BI328" i="1"/>
  <c r="BI326" i="1"/>
  <c r="BI331" i="1"/>
  <c r="BG331" i="1"/>
  <c r="BG329" i="1"/>
  <c r="BG326" i="1"/>
  <c r="CO326" i="1"/>
  <c r="CO331" i="1"/>
  <c r="CO332" i="1"/>
  <c r="CO329" i="1"/>
  <c r="CO328" i="1"/>
  <c r="CO327" i="1"/>
  <c r="CO330" i="1"/>
  <c r="BF331" i="1"/>
  <c r="BF329" i="1"/>
  <c r="BF326" i="1"/>
  <c r="CK330" i="1"/>
  <c r="CK326" i="1"/>
  <c r="CK331" i="1"/>
  <c r="CK332" i="1"/>
  <c r="CK329" i="1"/>
  <c r="CK328" i="1"/>
  <c r="CK327" i="1"/>
  <c r="CL327" i="1"/>
  <c r="CL331" i="1"/>
  <c r="CL326" i="1"/>
  <c r="CL328" i="1"/>
  <c r="CL329" i="1"/>
  <c r="CL330" i="1"/>
  <c r="CL332" i="1"/>
  <c r="BG335" i="1"/>
  <c r="BG333" i="1"/>
  <c r="CO334" i="1"/>
  <c r="CO333" i="1"/>
  <c r="BF335" i="1"/>
  <c r="BF333" i="1"/>
  <c r="CK333" i="1"/>
  <c r="CK334" i="1"/>
  <c r="CL334" i="1"/>
  <c r="CL333" i="1"/>
  <c r="CP334" i="1"/>
  <c r="CP333" i="1"/>
  <c r="BI333" i="1"/>
  <c r="BI334" i="1"/>
  <c r="BF338" i="1"/>
  <c r="BF336" i="1"/>
  <c r="BI336" i="1"/>
  <c r="BI335" i="1"/>
  <c r="BG338" i="1"/>
  <c r="BG336" i="1"/>
  <c r="CP336" i="1"/>
  <c r="CP335" i="1"/>
  <c r="CO335" i="1"/>
  <c r="CO336" i="1"/>
  <c r="CK335" i="1"/>
  <c r="CK336" i="1"/>
  <c r="CL336" i="1"/>
  <c r="CL335" i="1"/>
  <c r="BI339" i="1"/>
  <c r="BI337" i="1"/>
  <c r="BI338" i="1"/>
  <c r="BG339" i="1"/>
  <c r="BG337" i="1"/>
  <c r="CO339" i="1"/>
  <c r="CO337" i="1"/>
  <c r="CO338" i="1"/>
  <c r="BF339" i="1"/>
  <c r="BF337" i="1"/>
  <c r="CK339" i="1"/>
  <c r="CK337" i="1"/>
  <c r="CK338" i="1"/>
  <c r="CL339" i="1"/>
  <c r="CL338" i="1"/>
  <c r="CL337" i="1"/>
  <c r="CP339" i="1"/>
  <c r="CP337" i="1"/>
  <c r="CP338" i="1"/>
  <c r="BF341" i="1"/>
  <c r="BF346" i="1"/>
  <c r="BF342" i="1"/>
  <c r="BF344" i="1"/>
  <c r="BI344" i="1"/>
  <c r="BI340" i="1"/>
  <c r="BI345" i="1"/>
  <c r="BI343" i="1"/>
  <c r="BI341" i="1"/>
  <c r="BI346" i="1"/>
  <c r="BI342" i="1"/>
  <c r="BG340" i="1"/>
  <c r="BG345" i="1"/>
  <c r="BG343" i="1"/>
  <c r="CO345" i="1"/>
  <c r="CO341" i="1"/>
  <c r="CO346" i="1"/>
  <c r="CO343" i="1"/>
  <c r="CO344" i="1"/>
  <c r="CO342" i="1"/>
  <c r="CO340" i="1"/>
  <c r="BF345" i="1"/>
  <c r="BF343" i="1"/>
  <c r="BF340" i="1"/>
  <c r="CK344" i="1"/>
  <c r="CK342" i="1"/>
  <c r="CK340" i="1"/>
  <c r="CK345" i="1"/>
  <c r="CK341" i="1"/>
  <c r="CK346" i="1"/>
  <c r="CK343" i="1"/>
  <c r="CL342" i="1"/>
  <c r="CL346" i="1"/>
  <c r="CL341" i="1"/>
  <c r="CL343" i="1"/>
  <c r="CL345" i="1"/>
  <c r="CL340" i="1"/>
  <c r="CL344" i="1"/>
  <c r="BG346" i="1"/>
  <c r="BG342" i="1"/>
  <c r="BG344" i="1"/>
  <c r="BG341" i="1"/>
  <c r="CP346" i="1"/>
  <c r="CP343" i="1"/>
  <c r="CP344" i="1"/>
  <c r="CP342" i="1"/>
  <c r="CP340" i="1"/>
  <c r="CP345" i="1"/>
  <c r="CP341"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AV3481" i="31" l="1"/>
  <c r="AU3481" i="31"/>
  <c r="AT3481" i="31" s="1"/>
  <c r="T3482" i="31" a="1"/>
  <c r="T3482" i="31" s="1"/>
  <c r="B3483" i="31"/>
  <c r="AS3482" i="31"/>
  <c r="AM3482" i="31"/>
  <c r="AL3482" i="31"/>
  <c r="BN38" i="1"/>
  <c r="BM37" i="1"/>
  <c r="BL37" i="1"/>
  <c r="BK37" i="1"/>
  <c r="BN37" i="1"/>
  <c r="BN42" i="1"/>
  <c r="BK38" i="1"/>
  <c r="BL38" i="1"/>
  <c r="BM38" i="1"/>
  <c r="BN36" i="1"/>
  <c r="BL36" i="1"/>
  <c r="BK36" i="1"/>
  <c r="BM36" i="1"/>
  <c r="BN41" i="1"/>
  <c r="BK42" i="1"/>
  <c r="BM42" i="1"/>
  <c r="BM41" i="1"/>
  <c r="BL42" i="1"/>
  <c r="BK40" i="1"/>
  <c r="BL40" i="1"/>
  <c r="BM40" i="1"/>
  <c r="BN40" i="1"/>
  <c r="BN39" i="1"/>
  <c r="BM39" i="1"/>
  <c r="BL39" i="1"/>
  <c r="BK39" i="1"/>
  <c r="BK41" i="1"/>
  <c r="BL41" i="1"/>
  <c r="BK44" i="1"/>
  <c r="BN43" i="1"/>
  <c r="BM43" i="1"/>
  <c r="BL43" i="1"/>
  <c r="BK43" i="1"/>
  <c r="BK53" i="1"/>
  <c r="BM53" i="1"/>
  <c r="BL53" i="1"/>
  <c r="BN45" i="1"/>
  <c r="BM45" i="1"/>
  <c r="BL45" i="1"/>
  <c r="BK45" i="1"/>
  <c r="BM46" i="1"/>
  <c r="BN46" i="1"/>
  <c r="BL46" i="1"/>
  <c r="BK46" i="1"/>
  <c r="BN53" i="1"/>
  <c r="BK48" i="1"/>
  <c r="BN48" i="1"/>
  <c r="BM48" i="1"/>
  <c r="BL48" i="1"/>
  <c r="BN52" i="1"/>
  <c r="BK52" i="1"/>
  <c r="BL52" i="1"/>
  <c r="BM52" i="1"/>
  <c r="BM50" i="1"/>
  <c r="BL50" i="1"/>
  <c r="BK50" i="1"/>
  <c r="BN51" i="1"/>
  <c r="BL51" i="1"/>
  <c r="BM51" i="1"/>
  <c r="BK51" i="1"/>
  <c r="BL47" i="1"/>
  <c r="BN47" i="1"/>
  <c r="BM47" i="1"/>
  <c r="BK47" i="1"/>
  <c r="BL44" i="1"/>
  <c r="BN44" i="1"/>
  <c r="BM44" i="1"/>
  <c r="BN50" i="1"/>
  <c r="BN49" i="1"/>
  <c r="BM49" i="1"/>
  <c r="BL49" i="1"/>
  <c r="BK49" i="1"/>
  <c r="BN58" i="1"/>
  <c r="BL58" i="1"/>
  <c r="BK58" i="1"/>
  <c r="BM58" i="1"/>
  <c r="BK57" i="1"/>
  <c r="BL57" i="1"/>
  <c r="BM57" i="1"/>
  <c r="BN57" i="1"/>
  <c r="BL77" i="1"/>
  <c r="BK77" i="1"/>
  <c r="BM77" i="1"/>
  <c r="BN77" i="1"/>
  <c r="BN76" i="1"/>
  <c r="BM76" i="1"/>
  <c r="BK76" i="1"/>
  <c r="BL76" i="1"/>
  <c r="BK64" i="1"/>
  <c r="BN64" i="1"/>
  <c r="BM64" i="1"/>
  <c r="BL64" i="1"/>
  <c r="BM74" i="1"/>
  <c r="BL74" i="1"/>
  <c r="BK74" i="1"/>
  <c r="BN74" i="1"/>
  <c r="BM80" i="1"/>
  <c r="BK80" i="1"/>
  <c r="BL80" i="1"/>
  <c r="BN80" i="1"/>
  <c r="BL84" i="1"/>
  <c r="BM84" i="1"/>
  <c r="BK84" i="1"/>
  <c r="BN84" i="1"/>
  <c r="BN71" i="1"/>
  <c r="BL71" i="1"/>
  <c r="BK71" i="1"/>
  <c r="BM71" i="1"/>
  <c r="BN67" i="1"/>
  <c r="BM67" i="1"/>
  <c r="BK67" i="1"/>
  <c r="BL67" i="1"/>
  <c r="BN87" i="1"/>
  <c r="BK87" i="1"/>
  <c r="BL87" i="1"/>
  <c r="BM87" i="1"/>
  <c r="BL54" i="1"/>
  <c r="BM54" i="1"/>
  <c r="BK54" i="1"/>
  <c r="BN54" i="1"/>
  <c r="BN55" i="1"/>
  <c r="BK55" i="1"/>
  <c r="BL55" i="1"/>
  <c r="BM55" i="1"/>
  <c r="BL81" i="1"/>
  <c r="BN81" i="1"/>
  <c r="BK81" i="1"/>
  <c r="BM81" i="1"/>
  <c r="BL83" i="1"/>
  <c r="BK83" i="1"/>
  <c r="BM83" i="1"/>
  <c r="BN83" i="1"/>
  <c r="BM66" i="1"/>
  <c r="BK66" i="1"/>
  <c r="BN66" i="1"/>
  <c r="BL66" i="1"/>
  <c r="BK62" i="1"/>
  <c r="BM62" i="1"/>
  <c r="BL62" i="1"/>
  <c r="BN62" i="1"/>
  <c r="BK60" i="1"/>
  <c r="BL60" i="1"/>
  <c r="BN60" i="1"/>
  <c r="BM60" i="1"/>
  <c r="BN69" i="1"/>
  <c r="BK69" i="1"/>
  <c r="BM69" i="1"/>
  <c r="BL69" i="1"/>
  <c r="BM72" i="1"/>
  <c r="BL72" i="1"/>
  <c r="BN72" i="1"/>
  <c r="BK72" i="1"/>
  <c r="BL86" i="1"/>
  <c r="BK86" i="1"/>
  <c r="BM86" i="1"/>
  <c r="BN86" i="1"/>
  <c r="BM85" i="1"/>
  <c r="BL85" i="1"/>
  <c r="BN85" i="1"/>
  <c r="BK85" i="1"/>
  <c r="BM63" i="1"/>
  <c r="BL63" i="1"/>
  <c r="BN63" i="1"/>
  <c r="BK63" i="1"/>
  <c r="BM79" i="1"/>
  <c r="BL79" i="1"/>
  <c r="BK79" i="1"/>
  <c r="BN79" i="1"/>
  <c r="BN56" i="1"/>
  <c r="BL56" i="1"/>
  <c r="BM56" i="1"/>
  <c r="BK56" i="1"/>
  <c r="BL75" i="1"/>
  <c r="BN75" i="1"/>
  <c r="BK75" i="1"/>
  <c r="BM75" i="1"/>
  <c r="BN70" i="1"/>
  <c r="BK70" i="1"/>
  <c r="BM70" i="1"/>
  <c r="BL70" i="1"/>
  <c r="BN68" i="1"/>
  <c r="BK68" i="1"/>
  <c r="BM68" i="1"/>
  <c r="BL68" i="1"/>
  <c r="BK65" i="1"/>
  <c r="BM65" i="1"/>
  <c r="BL65" i="1"/>
  <c r="BN65" i="1"/>
  <c r="BM88" i="1"/>
  <c r="BN88" i="1"/>
  <c r="BL88" i="1"/>
  <c r="BK88" i="1"/>
  <c r="BL82" i="1"/>
  <c r="BK82" i="1"/>
  <c r="BM82" i="1"/>
  <c r="BN82" i="1"/>
  <c r="BM59" i="1"/>
  <c r="BN59" i="1"/>
  <c r="BL59" i="1"/>
  <c r="BK59" i="1"/>
  <c r="BM61" i="1"/>
  <c r="BL61" i="1"/>
  <c r="BK61" i="1"/>
  <c r="BN61" i="1"/>
  <c r="BM73" i="1"/>
  <c r="BL73" i="1"/>
  <c r="BN73" i="1"/>
  <c r="BK73" i="1"/>
  <c r="BN78" i="1"/>
  <c r="BL78" i="1"/>
  <c r="BK78" i="1"/>
  <c r="BM78" i="1"/>
  <c r="BL143" i="1"/>
  <c r="BN143" i="1"/>
  <c r="BM143" i="1"/>
  <c r="BK143" i="1"/>
  <c r="BN102" i="1"/>
  <c r="BK102" i="1"/>
  <c r="BM102" i="1"/>
  <c r="BL102" i="1"/>
  <c r="BK101" i="1"/>
  <c r="BL101" i="1"/>
  <c r="BM101" i="1"/>
  <c r="BN101" i="1"/>
  <c r="BM144" i="1"/>
  <c r="BL144" i="1"/>
  <c r="BN144" i="1"/>
  <c r="BK144" i="1"/>
  <c r="BN124" i="1"/>
  <c r="BL124" i="1"/>
  <c r="BM124" i="1"/>
  <c r="BK124" i="1"/>
  <c r="BL113" i="1"/>
  <c r="BM113" i="1"/>
  <c r="BK113" i="1"/>
  <c r="BN113" i="1"/>
  <c r="BL91" i="1"/>
  <c r="BK91" i="1"/>
  <c r="BM91" i="1"/>
  <c r="BN91" i="1"/>
  <c r="BK99" i="1"/>
  <c r="BN99" i="1"/>
  <c r="BM99" i="1"/>
  <c r="BL99" i="1"/>
  <c r="BN108" i="1"/>
  <c r="BK108" i="1"/>
  <c r="BL108" i="1"/>
  <c r="BM108" i="1"/>
  <c r="BM147" i="1"/>
  <c r="BL147" i="1"/>
  <c r="BN147" i="1"/>
  <c r="BK147" i="1"/>
  <c r="BN110" i="1"/>
  <c r="BM110" i="1"/>
  <c r="BL110" i="1"/>
  <c r="BK110" i="1"/>
  <c r="BM104" i="1"/>
  <c r="BN104" i="1"/>
  <c r="BK104" i="1"/>
  <c r="BL104" i="1"/>
  <c r="BM93" i="1"/>
  <c r="BN93" i="1"/>
  <c r="BK93" i="1"/>
  <c r="BL93" i="1"/>
  <c r="BL98" i="1"/>
  <c r="BK98" i="1"/>
  <c r="BM98" i="1"/>
  <c r="BN98" i="1"/>
  <c r="BM120" i="1"/>
  <c r="BN120" i="1"/>
  <c r="BL120" i="1"/>
  <c r="BK120" i="1"/>
  <c r="BM121" i="1"/>
  <c r="BN121" i="1"/>
  <c r="BL121" i="1"/>
  <c r="BK121" i="1"/>
  <c r="BN131" i="1"/>
  <c r="BM131" i="1"/>
  <c r="BK131" i="1"/>
  <c r="BL131" i="1"/>
  <c r="BM133" i="1"/>
  <c r="BL133" i="1"/>
  <c r="BN133" i="1"/>
  <c r="BK133" i="1"/>
  <c r="BL111" i="1"/>
  <c r="BK111" i="1"/>
  <c r="BM111" i="1"/>
  <c r="BN111" i="1"/>
  <c r="BM96" i="1"/>
  <c r="BL96" i="1"/>
  <c r="BK96" i="1"/>
  <c r="BN96" i="1"/>
  <c r="BM106" i="1"/>
  <c r="BN106" i="1"/>
  <c r="BK106" i="1"/>
  <c r="BL106" i="1"/>
  <c r="BL128" i="1"/>
  <c r="BK128" i="1"/>
  <c r="BM128" i="1"/>
  <c r="BN128" i="1"/>
  <c r="BM146" i="1"/>
  <c r="BN146" i="1"/>
  <c r="BL146" i="1"/>
  <c r="BK146" i="1"/>
  <c r="BN127" i="1"/>
  <c r="BM127" i="1"/>
  <c r="BL127" i="1"/>
  <c r="BK127" i="1"/>
  <c r="BL134" i="1"/>
  <c r="BK134" i="1"/>
  <c r="BN134" i="1"/>
  <c r="BM134" i="1"/>
  <c r="BL142" i="1"/>
  <c r="BK142" i="1"/>
  <c r="BN142" i="1"/>
  <c r="BM142" i="1"/>
  <c r="BL118" i="1"/>
  <c r="BM118" i="1"/>
  <c r="BN118" i="1"/>
  <c r="BK118" i="1"/>
  <c r="BM89" i="1"/>
  <c r="BN89" i="1"/>
  <c r="BL89" i="1"/>
  <c r="BK89" i="1"/>
  <c r="BM135" i="1"/>
  <c r="BN135" i="1"/>
  <c r="BL135" i="1"/>
  <c r="BK135" i="1"/>
  <c r="BL125" i="1"/>
  <c r="BN125" i="1"/>
  <c r="BM125" i="1"/>
  <c r="BK125" i="1"/>
  <c r="BL136" i="1"/>
  <c r="BM136" i="1"/>
  <c r="BN136" i="1"/>
  <c r="BK136" i="1"/>
  <c r="BN115" i="1"/>
  <c r="BL115" i="1"/>
  <c r="BK115" i="1"/>
  <c r="BM115" i="1"/>
  <c r="BN92" i="1"/>
  <c r="BL92" i="1"/>
  <c r="BM92" i="1"/>
  <c r="BK92" i="1"/>
  <c r="BM103" i="1"/>
  <c r="BL103" i="1"/>
  <c r="BK103" i="1"/>
  <c r="BN103" i="1"/>
  <c r="BL137" i="1"/>
  <c r="BN137" i="1"/>
  <c r="BK137" i="1"/>
  <c r="BM137" i="1"/>
  <c r="BM117" i="1"/>
  <c r="BL117" i="1"/>
  <c r="BN117" i="1"/>
  <c r="BK117" i="1"/>
  <c r="BN90" i="1"/>
  <c r="BL90" i="1"/>
  <c r="BK90" i="1"/>
  <c r="BM90" i="1"/>
  <c r="BN119" i="1"/>
  <c r="BL119" i="1"/>
  <c r="BK119" i="1"/>
  <c r="BM119" i="1"/>
  <c r="BN116" i="1"/>
  <c r="BM116" i="1"/>
  <c r="BL116" i="1"/>
  <c r="BK116" i="1"/>
  <c r="BL95" i="1"/>
  <c r="BK95" i="1"/>
  <c r="BM95" i="1"/>
  <c r="BN95" i="1"/>
  <c r="BK112" i="1"/>
  <c r="BN112" i="1"/>
  <c r="BM112" i="1"/>
  <c r="BL112" i="1"/>
  <c r="BM94" i="1"/>
  <c r="BN94" i="1"/>
  <c r="BK94" i="1"/>
  <c r="BL94" i="1"/>
  <c r="BN129" i="1"/>
  <c r="BL129" i="1"/>
  <c r="BM129" i="1"/>
  <c r="BK129" i="1"/>
  <c r="BM122" i="1"/>
  <c r="BL122" i="1"/>
  <c r="BK122" i="1"/>
  <c r="BN122" i="1"/>
  <c r="BM126" i="1"/>
  <c r="BL126" i="1"/>
  <c r="BN126" i="1"/>
  <c r="BK126" i="1"/>
  <c r="BM109" i="1"/>
  <c r="BN109" i="1"/>
  <c r="BL109" i="1"/>
  <c r="BK109" i="1"/>
  <c r="BK97" i="1"/>
  <c r="BN97" i="1"/>
  <c r="BL97" i="1"/>
  <c r="BM97" i="1"/>
  <c r="BN100" i="1"/>
  <c r="BM100" i="1"/>
  <c r="BL100" i="1"/>
  <c r="BK100" i="1"/>
  <c r="BM140" i="1"/>
  <c r="BL140" i="1"/>
  <c r="BK140" i="1"/>
  <c r="BN140" i="1"/>
  <c r="BM130" i="1"/>
  <c r="BN130" i="1"/>
  <c r="BL130" i="1"/>
  <c r="BK130" i="1"/>
  <c r="BL139" i="1"/>
  <c r="BM139" i="1"/>
  <c r="BK139" i="1"/>
  <c r="BN139" i="1"/>
  <c r="BM148" i="1"/>
  <c r="BL148" i="1"/>
  <c r="BN148" i="1"/>
  <c r="BK148" i="1"/>
  <c r="BL114" i="1"/>
  <c r="BN114" i="1"/>
  <c r="BK114" i="1"/>
  <c r="BM114" i="1"/>
  <c r="BM132" i="1"/>
  <c r="BL132" i="1"/>
  <c r="BN132" i="1"/>
  <c r="BK132" i="1"/>
  <c r="BN123" i="1"/>
  <c r="BL123" i="1"/>
  <c r="BM123" i="1"/>
  <c r="BK123" i="1"/>
  <c r="BK145" i="1"/>
  <c r="BL145" i="1"/>
  <c r="BM145" i="1"/>
  <c r="BN145" i="1"/>
  <c r="BL107" i="1"/>
  <c r="BM107" i="1"/>
  <c r="BK107" i="1"/>
  <c r="BN107" i="1"/>
  <c r="BL105" i="1"/>
  <c r="BM105" i="1"/>
  <c r="BK105" i="1"/>
  <c r="BN105" i="1"/>
  <c r="BM138" i="1"/>
  <c r="BL138" i="1"/>
  <c r="BN138" i="1"/>
  <c r="BK138" i="1"/>
  <c r="BL141" i="1"/>
  <c r="BM141" i="1"/>
  <c r="BK141" i="1"/>
  <c r="BN141" i="1"/>
  <c r="C31" i="34"/>
  <c r="C44" i="34"/>
  <c r="C10" i="34"/>
  <c r="C17" i="34"/>
  <c r="BK155" i="1"/>
  <c r="BN150" i="1"/>
  <c r="BK150" i="1"/>
  <c r="BM150" i="1"/>
  <c r="BL150" i="1"/>
  <c r="BM151" i="1"/>
  <c r="BN151" i="1"/>
  <c r="BL151" i="1"/>
  <c r="BK151" i="1"/>
  <c r="BN155" i="1"/>
  <c r="BL155" i="1"/>
  <c r="BM155" i="1"/>
  <c r="BN149" i="1"/>
  <c r="BM149" i="1"/>
  <c r="BK149" i="1"/>
  <c r="BL149" i="1"/>
  <c r="BN156" i="1"/>
  <c r="BL156" i="1"/>
  <c r="BK156" i="1"/>
  <c r="BM156" i="1"/>
  <c r="BN153" i="1"/>
  <c r="BM153" i="1"/>
  <c r="BL153" i="1"/>
  <c r="BK153" i="1"/>
  <c r="BN154" i="1"/>
  <c r="BM154" i="1"/>
  <c r="BL154" i="1"/>
  <c r="BK154" i="1"/>
  <c r="BN181" i="1"/>
  <c r="BN152" i="1"/>
  <c r="BM152" i="1"/>
  <c r="BL152" i="1"/>
  <c r="BK152" i="1"/>
  <c r="BL160" i="1"/>
  <c r="BK160" i="1"/>
  <c r="BM160" i="1"/>
  <c r="BN160" i="1"/>
  <c r="BN188" i="1"/>
  <c r="BM171" i="1"/>
  <c r="BN166" i="1"/>
  <c r="BM166" i="1"/>
  <c r="BK166" i="1"/>
  <c r="BN157" i="1"/>
  <c r="BL157" i="1"/>
  <c r="BM157" i="1"/>
  <c r="BK157" i="1"/>
  <c r="BL159" i="1"/>
  <c r="BM159" i="1"/>
  <c r="BK159" i="1"/>
  <c r="BN159" i="1"/>
  <c r="BN164" i="1"/>
  <c r="BL164" i="1"/>
  <c r="BM164" i="1"/>
  <c r="BK164" i="1"/>
  <c r="BL166" i="1"/>
  <c r="BK167" i="1"/>
  <c r="BM167" i="1"/>
  <c r="BN167" i="1"/>
  <c r="BL167" i="1"/>
  <c r="BN165" i="1"/>
  <c r="BM165" i="1"/>
  <c r="BK165" i="1"/>
  <c r="BL165" i="1"/>
  <c r="BN182" i="1"/>
  <c r="BM162" i="1"/>
  <c r="BL162" i="1"/>
  <c r="BK162" i="1"/>
  <c r="BN162" i="1"/>
  <c r="BN168" i="1"/>
  <c r="BM168" i="1"/>
  <c r="BK168" i="1"/>
  <c r="BL168" i="1"/>
  <c r="BM158" i="1"/>
  <c r="BL158" i="1"/>
  <c r="BN158" i="1"/>
  <c r="BK158" i="1"/>
  <c r="BM161" i="1"/>
  <c r="BN161" i="1"/>
  <c r="BK161" i="1"/>
  <c r="BL161" i="1"/>
  <c r="BN163" i="1"/>
  <c r="BK163" i="1"/>
  <c r="BM163" i="1"/>
  <c r="BL163" i="1"/>
  <c r="BM181" i="1"/>
  <c r="BL182" i="1"/>
  <c r="BK182" i="1"/>
  <c r="BK181" i="1"/>
  <c r="BM182" i="1"/>
  <c r="BL188" i="1"/>
  <c r="BN174" i="1"/>
  <c r="BK174" i="1"/>
  <c r="BL174" i="1"/>
  <c r="BM174" i="1"/>
  <c r="BM169" i="1"/>
  <c r="BN169" i="1"/>
  <c r="BL169" i="1"/>
  <c r="BK169" i="1"/>
  <c r="BK172" i="1"/>
  <c r="BN172" i="1"/>
  <c r="BM172" i="1"/>
  <c r="BL172" i="1"/>
  <c r="BL171" i="1"/>
  <c r="BK171" i="1"/>
  <c r="BN171" i="1"/>
  <c r="BM170" i="1"/>
  <c r="BN170" i="1"/>
  <c r="BK170" i="1"/>
  <c r="BL170" i="1"/>
  <c r="BK173" i="1"/>
  <c r="BL173" i="1"/>
  <c r="BN173" i="1"/>
  <c r="BM173" i="1"/>
  <c r="BL181" i="1"/>
  <c r="BK188" i="1"/>
  <c r="BL178" i="1"/>
  <c r="BK178" i="1"/>
  <c r="BM178" i="1"/>
  <c r="BN178" i="1"/>
  <c r="BN177" i="1"/>
  <c r="BM177" i="1"/>
  <c r="BL177" i="1"/>
  <c r="BK177" i="1"/>
  <c r="BN180" i="1"/>
  <c r="BK180" i="1"/>
  <c r="BM180" i="1"/>
  <c r="BL180" i="1"/>
  <c r="BM175" i="1"/>
  <c r="BN175" i="1"/>
  <c r="BK175" i="1"/>
  <c r="BL175" i="1"/>
  <c r="BN176" i="1"/>
  <c r="BL176" i="1"/>
  <c r="BM176" i="1"/>
  <c r="BK176" i="1"/>
  <c r="BN179" i="1"/>
  <c r="BK179" i="1"/>
  <c r="BL179" i="1"/>
  <c r="BM179" i="1"/>
  <c r="BK187" i="1"/>
  <c r="BN262" i="1"/>
  <c r="BM188" i="1"/>
  <c r="BM187" i="1"/>
  <c r="BL185" i="1"/>
  <c r="BK185" i="1"/>
  <c r="BM185" i="1"/>
  <c r="BN185" i="1"/>
  <c r="BN186" i="1"/>
  <c r="BM186" i="1"/>
  <c r="BK186" i="1"/>
  <c r="BL186" i="1"/>
  <c r="BK213" i="1"/>
  <c r="BN187" i="1"/>
  <c r="BL187" i="1"/>
  <c r="BK184" i="1"/>
  <c r="BL184" i="1"/>
  <c r="BM184" i="1"/>
  <c r="BN184" i="1"/>
  <c r="BN183" i="1"/>
  <c r="BM183" i="1"/>
  <c r="BL183" i="1"/>
  <c r="BK183" i="1"/>
  <c r="BM195" i="1"/>
  <c r="BM203" i="1"/>
  <c r="BN213" i="1"/>
  <c r="BN192" i="1"/>
  <c r="BM192" i="1"/>
  <c r="BL192" i="1"/>
  <c r="BK192" i="1"/>
  <c r="BN191" i="1"/>
  <c r="BM191" i="1"/>
  <c r="BL191" i="1"/>
  <c r="BK191" i="1"/>
  <c r="BN194" i="1"/>
  <c r="BM194" i="1"/>
  <c r="BK194" i="1"/>
  <c r="BL194" i="1"/>
  <c r="BM193" i="1"/>
  <c r="BN193" i="1"/>
  <c r="BK193" i="1"/>
  <c r="BL193" i="1"/>
  <c r="BN205" i="1"/>
  <c r="BM205" i="1"/>
  <c r="BK205" i="1"/>
  <c r="BL205" i="1"/>
  <c r="BM204" i="1"/>
  <c r="BN204" i="1"/>
  <c r="BK204" i="1"/>
  <c r="BL204" i="1"/>
  <c r="BN198" i="1"/>
  <c r="BL198" i="1"/>
  <c r="BM198" i="1"/>
  <c r="BK198" i="1"/>
  <c r="BN202" i="1"/>
  <c r="BL202" i="1"/>
  <c r="BK202" i="1"/>
  <c r="BM202" i="1"/>
  <c r="BN200" i="1"/>
  <c r="BM200" i="1"/>
  <c r="BL200" i="1"/>
  <c r="BK200" i="1"/>
  <c r="BN195" i="1"/>
  <c r="BK195" i="1"/>
  <c r="BL195" i="1"/>
  <c r="BN203" i="1"/>
  <c r="BL203" i="1"/>
  <c r="BK203" i="1"/>
  <c r="BM197" i="1"/>
  <c r="BN197" i="1"/>
  <c r="BK197" i="1"/>
  <c r="BL197" i="1"/>
  <c r="BK196" i="1"/>
  <c r="BL196" i="1"/>
  <c r="BN196" i="1"/>
  <c r="BM196" i="1"/>
  <c r="BN199" i="1"/>
  <c r="BM199" i="1"/>
  <c r="BL199" i="1"/>
  <c r="BK199" i="1"/>
  <c r="BK189" i="1"/>
  <c r="BL189" i="1"/>
  <c r="BM189" i="1"/>
  <c r="BN189" i="1"/>
  <c r="BN201" i="1"/>
  <c r="BM201" i="1"/>
  <c r="BL201" i="1"/>
  <c r="BK201" i="1"/>
  <c r="BN190" i="1"/>
  <c r="BM190" i="1"/>
  <c r="BL190" i="1"/>
  <c r="BK190" i="1"/>
  <c r="BN209" i="1"/>
  <c r="BM209" i="1"/>
  <c r="BL209" i="1"/>
  <c r="BK209" i="1"/>
  <c r="BN208" i="1"/>
  <c r="BM208" i="1"/>
  <c r="BL208" i="1"/>
  <c r="BK208" i="1"/>
  <c r="BM213" i="1"/>
  <c r="BN216" i="1"/>
  <c r="BK206" i="1"/>
  <c r="BN206" i="1"/>
  <c r="BL206" i="1"/>
  <c r="BM207" i="1"/>
  <c r="BK207" i="1"/>
  <c r="BN207" i="1"/>
  <c r="BL207" i="1"/>
  <c r="BN210" i="1"/>
  <c r="BK210" i="1"/>
  <c r="BL210" i="1"/>
  <c r="BM210" i="1"/>
  <c r="BL213" i="1"/>
  <c r="BM206" i="1"/>
  <c r="BL215" i="1"/>
  <c r="BK211" i="1"/>
  <c r="BM211" i="1"/>
  <c r="BL211" i="1"/>
  <c r="BN211" i="1"/>
  <c r="BN212" i="1"/>
  <c r="BK212" i="1"/>
  <c r="BL212" i="1"/>
  <c r="BM212" i="1"/>
  <c r="BL216" i="1"/>
  <c r="BN215" i="1"/>
  <c r="BK216" i="1"/>
  <c r="BM215" i="1"/>
  <c r="BM216" i="1"/>
  <c r="BK215" i="1"/>
  <c r="BN218" i="1"/>
  <c r="BL227" i="1"/>
  <c r="BK218" i="1"/>
  <c r="BN222" i="1"/>
  <c r="BL218" i="1"/>
  <c r="BM218" i="1"/>
  <c r="BL219" i="1"/>
  <c r="BM214" i="1"/>
  <c r="BN214" i="1"/>
  <c r="BK214" i="1"/>
  <c r="BL214" i="1"/>
  <c r="BM222" i="1"/>
  <c r="BN217" i="1"/>
  <c r="BK217" i="1"/>
  <c r="BL217" i="1"/>
  <c r="BM217" i="1"/>
  <c r="BL222" i="1"/>
  <c r="BK221" i="1"/>
  <c r="BN221" i="1"/>
  <c r="BM221" i="1"/>
  <c r="BL221" i="1"/>
  <c r="BK222" i="1"/>
  <c r="BM219" i="1"/>
  <c r="BK219" i="1"/>
  <c r="BN219" i="1"/>
  <c r="BM220" i="1"/>
  <c r="BL220" i="1"/>
  <c r="BN220" i="1"/>
  <c r="BK220" i="1"/>
  <c r="BM223" i="1"/>
  <c r="BN225" i="1"/>
  <c r="BM225" i="1"/>
  <c r="BL225" i="1"/>
  <c r="BK225" i="1"/>
  <c r="BM226" i="1"/>
  <c r="BL226" i="1"/>
  <c r="BK226" i="1"/>
  <c r="BN226" i="1"/>
  <c r="BN230" i="1"/>
  <c r="BK230" i="1"/>
  <c r="BL230" i="1"/>
  <c r="BM230" i="1"/>
  <c r="BM224" i="1"/>
  <c r="BN224" i="1"/>
  <c r="BK224" i="1"/>
  <c r="BL224" i="1"/>
  <c r="BN223" i="1"/>
  <c r="BK223" i="1"/>
  <c r="BL223" i="1"/>
  <c r="BL229" i="1"/>
  <c r="BM229" i="1"/>
  <c r="BK229" i="1"/>
  <c r="BN229" i="1"/>
  <c r="BN228" i="1"/>
  <c r="BL228" i="1"/>
  <c r="BM228" i="1"/>
  <c r="BK228" i="1"/>
  <c r="BN227" i="1"/>
  <c r="BK227" i="1"/>
  <c r="BM227" i="1"/>
  <c r="BL232" i="1"/>
  <c r="BL241" i="1"/>
  <c r="BK234" i="1"/>
  <c r="BL234" i="1"/>
  <c r="BN234" i="1"/>
  <c r="BM234" i="1"/>
  <c r="BM233" i="1"/>
  <c r="BL233" i="1"/>
  <c r="BN233" i="1"/>
  <c r="BK233" i="1"/>
  <c r="BN231" i="1"/>
  <c r="BM231" i="1"/>
  <c r="BL231" i="1"/>
  <c r="BK231" i="1"/>
  <c r="BM239" i="1"/>
  <c r="BN232" i="1"/>
  <c r="BM232" i="1"/>
  <c r="BK232" i="1"/>
  <c r="BK237" i="1"/>
  <c r="BN237" i="1"/>
  <c r="BM237" i="1"/>
  <c r="BL237" i="1"/>
  <c r="BN238" i="1"/>
  <c r="BM238" i="1"/>
  <c r="BL238" i="1"/>
  <c r="BK238" i="1"/>
  <c r="BM262" i="1"/>
  <c r="BN268" i="1"/>
  <c r="BM248" i="1"/>
  <c r="BK262" i="1"/>
  <c r="BM240" i="1"/>
  <c r="BN240" i="1"/>
  <c r="BL240" i="1"/>
  <c r="BK240" i="1"/>
  <c r="BK250" i="1"/>
  <c r="BL250" i="1"/>
  <c r="BM250" i="1"/>
  <c r="BN250" i="1"/>
  <c r="BL262" i="1"/>
  <c r="BK235" i="1"/>
  <c r="BN235" i="1"/>
  <c r="BM235" i="1"/>
  <c r="BL235" i="1"/>
  <c r="BN244" i="1"/>
  <c r="BM244" i="1"/>
  <c r="BL244" i="1"/>
  <c r="BK244" i="1"/>
  <c r="BM247" i="1"/>
  <c r="BL247" i="1"/>
  <c r="BK247" i="1"/>
  <c r="BN247" i="1"/>
  <c r="BM241" i="1"/>
  <c r="BK241" i="1"/>
  <c r="BN241" i="1"/>
  <c r="BN243" i="1"/>
  <c r="BL243" i="1"/>
  <c r="BM243" i="1"/>
  <c r="BK243" i="1"/>
  <c r="BN251" i="1"/>
  <c r="BM251" i="1"/>
  <c r="BK251" i="1"/>
  <c r="BL251" i="1"/>
  <c r="BL245" i="1"/>
  <c r="BK245" i="1"/>
  <c r="BN245" i="1"/>
  <c r="BM245" i="1"/>
  <c r="BM242" i="1"/>
  <c r="BK242" i="1"/>
  <c r="BN242" i="1"/>
  <c r="BL242" i="1"/>
  <c r="BL236" i="1"/>
  <c r="BK236" i="1"/>
  <c r="BN236" i="1"/>
  <c r="BM236" i="1"/>
  <c r="BK246" i="1"/>
  <c r="BM246" i="1"/>
  <c r="BN246" i="1"/>
  <c r="BL246" i="1"/>
  <c r="BK248" i="1"/>
  <c r="BL248" i="1"/>
  <c r="BN248" i="1"/>
  <c r="BN249" i="1"/>
  <c r="BM249" i="1"/>
  <c r="BK249" i="1"/>
  <c r="BL249" i="1"/>
  <c r="BK239" i="1"/>
  <c r="BN239" i="1"/>
  <c r="BL239" i="1"/>
  <c r="BL255" i="1"/>
  <c r="BK255" i="1"/>
  <c r="BM255" i="1"/>
  <c r="BN255" i="1"/>
  <c r="BN254" i="1"/>
  <c r="BM254" i="1"/>
  <c r="BL254" i="1"/>
  <c r="BK254" i="1"/>
  <c r="BM258" i="1"/>
  <c r="BN258" i="1"/>
  <c r="BK258" i="1"/>
  <c r="BL257" i="1"/>
  <c r="BN257" i="1"/>
  <c r="BK257" i="1"/>
  <c r="BM257" i="1"/>
  <c r="BN261" i="1"/>
  <c r="BL261" i="1"/>
  <c r="BM261" i="1"/>
  <c r="BK261" i="1"/>
  <c r="BN253" i="1"/>
  <c r="BK253" i="1"/>
  <c r="BM253" i="1"/>
  <c r="BL253" i="1"/>
  <c r="BL258" i="1"/>
  <c r="BN252" i="1"/>
  <c r="BL252" i="1"/>
  <c r="BK252" i="1"/>
  <c r="BM252" i="1"/>
  <c r="BM256" i="1"/>
  <c r="BL256" i="1"/>
  <c r="BN256" i="1"/>
  <c r="BK256" i="1"/>
  <c r="BK259" i="1"/>
  <c r="BN259" i="1"/>
  <c r="BL259" i="1"/>
  <c r="BM259" i="1"/>
  <c r="BK260" i="1"/>
  <c r="BM260" i="1"/>
  <c r="BL260" i="1"/>
  <c r="BN260" i="1"/>
  <c r="BM302" i="1"/>
  <c r="BN264" i="1"/>
  <c r="BM264" i="1"/>
  <c r="BL264" i="1"/>
  <c r="BK264" i="1"/>
  <c r="BN303" i="1"/>
  <c r="BK278" i="1"/>
  <c r="BK268" i="1"/>
  <c r="BL303" i="1"/>
  <c r="BN267" i="1"/>
  <c r="BL268" i="1"/>
  <c r="BL263" i="1"/>
  <c r="BM263" i="1"/>
  <c r="BN263" i="1"/>
  <c r="BK263" i="1"/>
  <c r="BL267" i="1"/>
  <c r="BK267" i="1"/>
  <c r="BM268" i="1"/>
  <c r="BM303" i="1"/>
  <c r="BM267" i="1"/>
  <c r="BL265" i="1"/>
  <c r="BM265" i="1"/>
  <c r="BK265" i="1"/>
  <c r="BN265" i="1"/>
  <c r="BN266" i="1"/>
  <c r="BM266" i="1"/>
  <c r="BK266" i="1"/>
  <c r="BL266" i="1"/>
  <c r="BN302" i="1"/>
  <c r="BM285" i="1"/>
  <c r="BM283" i="1"/>
  <c r="BK272" i="1"/>
  <c r="BL272" i="1"/>
  <c r="BN272" i="1"/>
  <c r="BM272" i="1"/>
  <c r="BL302" i="1"/>
  <c r="BM271" i="1"/>
  <c r="BL271" i="1"/>
  <c r="BK271" i="1"/>
  <c r="BN271" i="1"/>
  <c r="BL305" i="1"/>
  <c r="BM269" i="1"/>
  <c r="BK269" i="1"/>
  <c r="BN269" i="1"/>
  <c r="BL269" i="1"/>
  <c r="BN276" i="1"/>
  <c r="BK276" i="1"/>
  <c r="BL276" i="1"/>
  <c r="BM276" i="1"/>
  <c r="BN274" i="1"/>
  <c r="BM274" i="1"/>
  <c r="BK274" i="1"/>
  <c r="BL274" i="1"/>
  <c r="BN273" i="1"/>
  <c r="BK273" i="1"/>
  <c r="BM273" i="1"/>
  <c r="BL273" i="1"/>
  <c r="BM275" i="1"/>
  <c r="BN275" i="1"/>
  <c r="BK275" i="1"/>
  <c r="BL275" i="1"/>
  <c r="BN270" i="1"/>
  <c r="BK270" i="1"/>
  <c r="BM270" i="1"/>
  <c r="BL270" i="1"/>
  <c r="BL283" i="1"/>
  <c r="BK283" i="1"/>
  <c r="BM280" i="1"/>
  <c r="BL280" i="1"/>
  <c r="BK280" i="1"/>
  <c r="BN280" i="1"/>
  <c r="BN279" i="1"/>
  <c r="BM279" i="1"/>
  <c r="BL279" i="1"/>
  <c r="BK279" i="1"/>
  <c r="BN283" i="1"/>
  <c r="BL297" i="1"/>
  <c r="BN278" i="1"/>
  <c r="BM278" i="1"/>
  <c r="BL278" i="1"/>
  <c r="BL281" i="1"/>
  <c r="BM281" i="1"/>
  <c r="BN281" i="1"/>
  <c r="BK281" i="1"/>
  <c r="BN282" i="1"/>
  <c r="BK282" i="1"/>
  <c r="BL282" i="1"/>
  <c r="BM282" i="1"/>
  <c r="BN277" i="1"/>
  <c r="BL277" i="1"/>
  <c r="BM277" i="1"/>
  <c r="BK277" i="1"/>
  <c r="BN286" i="1"/>
  <c r="BM286" i="1"/>
  <c r="BL286" i="1"/>
  <c r="BK286" i="1"/>
  <c r="BM288" i="1"/>
  <c r="BK302" i="1"/>
  <c r="BN287" i="1"/>
  <c r="BM287" i="1"/>
  <c r="BL287" i="1"/>
  <c r="BK287" i="1"/>
  <c r="BK303" i="1"/>
  <c r="BN295" i="1"/>
  <c r="BL295" i="1"/>
  <c r="BK295" i="1"/>
  <c r="BM295" i="1"/>
  <c r="BN301" i="1"/>
  <c r="BK301" i="1"/>
  <c r="BM301" i="1"/>
  <c r="BL301" i="1"/>
  <c r="BN300" i="1"/>
  <c r="BK300" i="1"/>
  <c r="BL300" i="1"/>
  <c r="BM291" i="1"/>
  <c r="BN288" i="1"/>
  <c r="BL288" i="1"/>
  <c r="BK288" i="1"/>
  <c r="BN297" i="1"/>
  <c r="BK297" i="1"/>
  <c r="BM297" i="1"/>
  <c r="BN284" i="1"/>
  <c r="BK284" i="1"/>
  <c r="BL284" i="1"/>
  <c r="BM284" i="1"/>
  <c r="BN299" i="1"/>
  <c r="BK299" i="1"/>
  <c r="BM299" i="1"/>
  <c r="BL299" i="1"/>
  <c r="BN293" i="1"/>
  <c r="BL293" i="1"/>
  <c r="BK293" i="1"/>
  <c r="BM293" i="1"/>
  <c r="BM289" i="1"/>
  <c r="BN289" i="1"/>
  <c r="BK289" i="1"/>
  <c r="BL289" i="1"/>
  <c r="BK294" i="1"/>
  <c r="BL294" i="1"/>
  <c r="BM294" i="1"/>
  <c r="BN294" i="1"/>
  <c r="BN291" i="1"/>
  <c r="BL291" i="1"/>
  <c r="BK291" i="1"/>
  <c r="BM300" i="1"/>
  <c r="BN298" i="1"/>
  <c r="BL298" i="1"/>
  <c r="BK298" i="1"/>
  <c r="BM298" i="1"/>
  <c r="BN285" i="1"/>
  <c r="BK285" i="1"/>
  <c r="BL285" i="1"/>
  <c r="BK292" i="1"/>
  <c r="BL292" i="1"/>
  <c r="BM292" i="1"/>
  <c r="BN292" i="1"/>
  <c r="BN296" i="1"/>
  <c r="BK296" i="1"/>
  <c r="BL296" i="1"/>
  <c r="BM296" i="1"/>
  <c r="BN290" i="1"/>
  <c r="BM290" i="1"/>
  <c r="BL290" i="1"/>
  <c r="BK290" i="1"/>
  <c r="BM318" i="1"/>
  <c r="BM320" i="1"/>
  <c r="BN318" i="1"/>
  <c r="BK318" i="1"/>
  <c r="BN319" i="1"/>
  <c r="BL318" i="1"/>
  <c r="BM321" i="1"/>
  <c r="BK319" i="1"/>
  <c r="BL319" i="1"/>
  <c r="BM319" i="1"/>
  <c r="BM307" i="1"/>
  <c r="BN307" i="1"/>
  <c r="BL307" i="1"/>
  <c r="BK307" i="1"/>
  <c r="BM306" i="1"/>
  <c r="BL306" i="1"/>
  <c r="BK306" i="1"/>
  <c r="BN306" i="1"/>
  <c r="BN314" i="1"/>
  <c r="BL314" i="1"/>
  <c r="BK314" i="1"/>
  <c r="BM314" i="1"/>
  <c r="BN313" i="1"/>
  <c r="BM313" i="1"/>
  <c r="BK313" i="1"/>
  <c r="BL313" i="1"/>
  <c r="BN305" i="1"/>
  <c r="BM305" i="1"/>
  <c r="BK305" i="1"/>
  <c r="BN304" i="1"/>
  <c r="BK304" i="1"/>
  <c r="BL304" i="1"/>
  <c r="BM304" i="1"/>
  <c r="BN312" i="1"/>
  <c r="BK312" i="1"/>
  <c r="BL312" i="1"/>
  <c r="BL311" i="1"/>
  <c r="BM311" i="1"/>
  <c r="BN311" i="1"/>
  <c r="BK311" i="1"/>
  <c r="BN308" i="1"/>
  <c r="BK308" i="1"/>
  <c r="BL308" i="1"/>
  <c r="BM312" i="1"/>
  <c r="BL309" i="1"/>
  <c r="BM309" i="1"/>
  <c r="BN309" i="1"/>
  <c r="BK309" i="1"/>
  <c r="BN310" i="1"/>
  <c r="BK310" i="1"/>
  <c r="BM310" i="1"/>
  <c r="BL310" i="1"/>
  <c r="BM308" i="1"/>
  <c r="BN317" i="1"/>
  <c r="BM317" i="1"/>
  <c r="BL317" i="1"/>
  <c r="BK317" i="1"/>
  <c r="BK316" i="1"/>
  <c r="BL316" i="1"/>
  <c r="BM316" i="1"/>
  <c r="BN316" i="1"/>
  <c r="BL315" i="1"/>
  <c r="BN315" i="1"/>
  <c r="BK315" i="1"/>
  <c r="BM315" i="1"/>
  <c r="BM334" i="1"/>
  <c r="BN325" i="1"/>
  <c r="BN324" i="1"/>
  <c r="BL324" i="1"/>
  <c r="BM325" i="1"/>
  <c r="BK325" i="1"/>
  <c r="BM324" i="1"/>
  <c r="BK324" i="1"/>
  <c r="BN323" i="1"/>
  <c r="BM323" i="1"/>
  <c r="BL323" i="1"/>
  <c r="BK323" i="1"/>
  <c r="BK322" i="1"/>
  <c r="BN322" i="1"/>
  <c r="BM322" i="1"/>
  <c r="BL322" i="1"/>
  <c r="BN320" i="1"/>
  <c r="BK320" i="1"/>
  <c r="BL320" i="1"/>
  <c r="BN338" i="1"/>
  <c r="BM333" i="1"/>
  <c r="BL334" i="1"/>
  <c r="BL325" i="1"/>
  <c r="BN321" i="1"/>
  <c r="BK321" i="1"/>
  <c r="BL321" i="1"/>
  <c r="BN334" i="1"/>
  <c r="BK346" i="1"/>
  <c r="BK334" i="1"/>
  <c r="BN335" i="1"/>
  <c r="BM335" i="1"/>
  <c r="BL338" i="1"/>
  <c r="BK335" i="1"/>
  <c r="BK338" i="1"/>
  <c r="BL335" i="1"/>
  <c r="BM338" i="1"/>
  <c r="BN329" i="1"/>
  <c r="BM329" i="1"/>
  <c r="BL329" i="1"/>
  <c r="BK329" i="1"/>
  <c r="BL328" i="1"/>
  <c r="BK328" i="1"/>
  <c r="BN328" i="1"/>
  <c r="BM328" i="1"/>
  <c r="BK330" i="1"/>
  <c r="BM330" i="1"/>
  <c r="BL330" i="1"/>
  <c r="BN330" i="1"/>
  <c r="BN332" i="1"/>
  <c r="BK332" i="1"/>
  <c r="BL332" i="1"/>
  <c r="BM332" i="1"/>
  <c r="BM327" i="1"/>
  <c r="BN327" i="1"/>
  <c r="BK327" i="1"/>
  <c r="BL327" i="1"/>
  <c r="BN326" i="1"/>
  <c r="BK326" i="1"/>
  <c r="BM326" i="1"/>
  <c r="BL326" i="1"/>
  <c r="BN331" i="1"/>
  <c r="BL331" i="1"/>
  <c r="BM331" i="1"/>
  <c r="BK331" i="1"/>
  <c r="BN333" i="1"/>
  <c r="BK333" i="1"/>
  <c r="BL333" i="1"/>
  <c r="BN339" i="1"/>
  <c r="BN336" i="1"/>
  <c r="BK336" i="1"/>
  <c r="BM336" i="1"/>
  <c r="BL336" i="1"/>
  <c r="BK339" i="1"/>
  <c r="BM339" i="1"/>
  <c r="BL339" i="1"/>
  <c r="BL337" i="1"/>
  <c r="BM337" i="1"/>
  <c r="BN337" i="1"/>
  <c r="BK337" i="1"/>
  <c r="BN342" i="1"/>
  <c r="BM342" i="1"/>
  <c r="BL342" i="1"/>
  <c r="BK342" i="1"/>
  <c r="BN343" i="1"/>
  <c r="BM343" i="1"/>
  <c r="BL343" i="1"/>
  <c r="BK343" i="1"/>
  <c r="BN345" i="1"/>
  <c r="BK345" i="1"/>
  <c r="BM345" i="1"/>
  <c r="BL345" i="1"/>
  <c r="BL344" i="1"/>
  <c r="BN344" i="1"/>
  <c r="BK344" i="1"/>
  <c r="BM344" i="1"/>
  <c r="BK340" i="1"/>
  <c r="BL340" i="1"/>
  <c r="BM340" i="1"/>
  <c r="BN340" i="1"/>
  <c r="BM346" i="1"/>
  <c r="BL346" i="1"/>
  <c r="BN346" i="1"/>
  <c r="BK341" i="1"/>
  <c r="BM341" i="1"/>
  <c r="BN341" i="1"/>
  <c r="BL341"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T3483" i="31" a="1"/>
  <c r="T3483"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22" i="1" l="1"/>
  <c r="CQ31" i="1"/>
  <c r="CQ33" i="1"/>
  <c r="CQ17" i="1"/>
  <c r="CQ28" i="1"/>
  <c r="CQ12" i="1"/>
  <c r="CQ23" i="1"/>
  <c r="CQ34" i="1"/>
  <c r="CQ18" i="1"/>
  <c r="CQ15" i="1"/>
  <c r="CQ29" i="1"/>
  <c r="CQ13" i="1"/>
  <c r="CQ24" i="1"/>
  <c r="CQ35" i="1"/>
  <c r="CQ19" i="1"/>
  <c r="CQ30" i="1"/>
  <c r="CQ14" i="1"/>
  <c r="CQ25" i="1"/>
  <c r="CQ20" i="1"/>
  <c r="CQ26" i="1"/>
  <c r="CQ10" i="1"/>
  <c r="CQ16" i="1"/>
  <c r="CQ21" i="1"/>
  <c r="CQ32" i="1"/>
  <c r="CQ27" i="1"/>
  <c r="CQ11" i="1"/>
  <c r="AV3483" i="31"/>
  <c r="AU3483" i="31"/>
  <c r="AT3483" i="31" s="1"/>
  <c r="AS3484" i="31"/>
  <c r="AM3484" i="31"/>
  <c r="B3485" i="31"/>
  <c r="AL3484" i="31"/>
  <c r="T3484" i="31" a="1"/>
  <c r="T3484" i="31" s="1"/>
  <c r="CQ36" i="1"/>
  <c r="CQ37" i="1"/>
  <c r="CQ38" i="1"/>
  <c r="CQ39" i="1"/>
  <c r="CQ40" i="1"/>
  <c r="CQ41" i="1"/>
  <c r="CQ42" i="1"/>
  <c r="CQ51" i="1"/>
  <c r="CQ47" i="1"/>
  <c r="CQ43" i="1"/>
  <c r="CQ52" i="1"/>
  <c r="CQ48" i="1"/>
  <c r="CQ44" i="1"/>
  <c r="CQ53" i="1"/>
  <c r="CQ49" i="1"/>
  <c r="CQ45" i="1"/>
  <c r="CQ50" i="1"/>
  <c r="CQ46" i="1"/>
  <c r="CQ81" i="1"/>
  <c r="CQ76" i="1"/>
  <c r="CQ75" i="1"/>
  <c r="CQ59" i="1"/>
  <c r="CQ87" i="1"/>
  <c r="CQ74" i="1"/>
  <c r="CQ84" i="1"/>
  <c r="CQ73" i="1"/>
  <c r="CQ71" i="1"/>
  <c r="CQ70" i="1"/>
  <c r="CQ69" i="1"/>
  <c r="CQ66" i="1"/>
  <c r="CQ65" i="1"/>
  <c r="CQ57" i="1"/>
  <c r="CQ55" i="1"/>
  <c r="CQ88" i="1"/>
  <c r="CQ79" i="1"/>
  <c r="CQ67" i="1"/>
  <c r="CQ62" i="1"/>
  <c r="CQ54" i="1"/>
  <c r="CQ86" i="1"/>
  <c r="CQ85" i="1"/>
  <c r="CQ78" i="1"/>
  <c r="CQ63" i="1"/>
  <c r="CQ83" i="1"/>
  <c r="CQ82" i="1"/>
  <c r="CQ64" i="1"/>
  <c r="CQ61" i="1"/>
  <c r="CQ68" i="1"/>
  <c r="CQ58" i="1"/>
  <c r="CQ56" i="1"/>
  <c r="CQ72" i="1"/>
  <c r="CQ80" i="1"/>
  <c r="CQ77" i="1"/>
  <c r="CQ60" i="1"/>
  <c r="CQ136" i="1"/>
  <c r="CQ125" i="1"/>
  <c r="CQ123" i="1"/>
  <c r="CQ120" i="1"/>
  <c r="CQ108" i="1"/>
  <c r="CQ93" i="1"/>
  <c r="CQ119" i="1"/>
  <c r="CQ118" i="1"/>
  <c r="CQ117" i="1"/>
  <c r="CQ116" i="1"/>
  <c r="CQ115" i="1"/>
  <c r="CQ114" i="1"/>
  <c r="CQ113" i="1"/>
  <c r="CQ112" i="1"/>
  <c r="CQ110" i="1"/>
  <c r="CQ107" i="1"/>
  <c r="CQ105" i="1"/>
  <c r="CQ96" i="1"/>
  <c r="CQ91" i="1"/>
  <c r="CQ89" i="1"/>
  <c r="CQ139" i="1"/>
  <c r="CQ104" i="1"/>
  <c r="CQ94" i="1"/>
  <c r="CQ90" i="1"/>
  <c r="CQ148" i="1"/>
  <c r="CQ141" i="1"/>
  <c r="CQ129" i="1"/>
  <c r="CQ146" i="1"/>
  <c r="CQ145" i="1"/>
  <c r="CQ140" i="1"/>
  <c r="CQ137" i="1"/>
  <c r="CQ134" i="1"/>
  <c r="CQ132" i="1"/>
  <c r="CQ106" i="1"/>
  <c r="CQ100" i="1"/>
  <c r="CQ144" i="1"/>
  <c r="CQ133" i="1"/>
  <c r="CQ131" i="1"/>
  <c r="CQ130" i="1"/>
  <c r="CQ127" i="1"/>
  <c r="CQ126" i="1"/>
  <c r="CQ121" i="1"/>
  <c r="CQ111" i="1"/>
  <c r="CQ109" i="1"/>
  <c r="CQ98" i="1"/>
  <c r="CQ138" i="1"/>
  <c r="CQ135" i="1"/>
  <c r="CQ128" i="1"/>
  <c r="CQ124" i="1"/>
  <c r="CQ122" i="1"/>
  <c r="CQ103" i="1"/>
  <c r="CQ95" i="1"/>
  <c r="CQ147" i="1"/>
  <c r="CQ97" i="1"/>
  <c r="CQ92" i="1"/>
  <c r="CQ143" i="1"/>
  <c r="CQ142" i="1"/>
  <c r="CQ102" i="1"/>
  <c r="CQ101" i="1"/>
  <c r="CQ99" i="1"/>
  <c r="CQ153" i="1"/>
  <c r="CQ156" i="1"/>
  <c r="CQ155" i="1"/>
  <c r="CQ154" i="1"/>
  <c r="CQ150" i="1"/>
  <c r="CQ151" i="1"/>
  <c r="CQ152" i="1"/>
  <c r="CQ149" i="1"/>
  <c r="CQ166" i="1"/>
  <c r="CQ160" i="1"/>
  <c r="CQ158" i="1"/>
  <c r="CQ157" i="1"/>
  <c r="CQ167" i="1"/>
  <c r="CQ161" i="1"/>
  <c r="CQ159" i="1"/>
  <c r="CQ168" i="1"/>
  <c r="CQ162" i="1"/>
  <c r="CQ163" i="1"/>
  <c r="CQ165" i="1"/>
  <c r="CQ164" i="1"/>
  <c r="CQ173" i="1"/>
  <c r="CQ169" i="1"/>
  <c r="CQ174" i="1"/>
  <c r="CQ170" i="1"/>
  <c r="CQ171" i="1"/>
  <c r="CQ172" i="1"/>
  <c r="CQ178" i="1"/>
  <c r="CQ179" i="1"/>
  <c r="CQ177" i="1"/>
  <c r="CQ180" i="1"/>
  <c r="CQ175" i="1"/>
  <c r="CQ176" i="1"/>
  <c r="CQ181" i="1"/>
  <c r="CQ182" i="1"/>
  <c r="CQ184" i="1"/>
  <c r="CQ186" i="1"/>
  <c r="CQ185" i="1"/>
  <c r="CQ183" i="1"/>
  <c r="CQ187" i="1"/>
  <c r="CQ188" i="1"/>
  <c r="CQ202" i="1"/>
  <c r="CQ200" i="1"/>
  <c r="CQ198" i="1"/>
  <c r="CQ196" i="1"/>
  <c r="CQ194" i="1"/>
  <c r="CQ192" i="1"/>
  <c r="CQ191" i="1"/>
  <c r="CQ190" i="1"/>
  <c r="CQ205" i="1"/>
  <c r="CQ203" i="1"/>
  <c r="CQ201" i="1"/>
  <c r="CQ199" i="1"/>
  <c r="CQ197" i="1"/>
  <c r="CQ195" i="1"/>
  <c r="CQ193" i="1"/>
  <c r="CQ189" i="1"/>
  <c r="CQ204" i="1"/>
  <c r="CQ209" i="1"/>
  <c r="CQ210" i="1"/>
  <c r="CQ208" i="1"/>
  <c r="CQ206" i="1"/>
  <c r="CQ207" i="1"/>
  <c r="CQ211" i="1"/>
  <c r="CQ212" i="1"/>
  <c r="CQ214" i="1"/>
  <c r="CQ213" i="1"/>
  <c r="CQ215" i="1"/>
  <c r="CQ216" i="1"/>
  <c r="CQ218" i="1"/>
  <c r="CQ217" i="1"/>
  <c r="CQ222" i="1"/>
  <c r="CQ221" i="1"/>
  <c r="CQ219" i="1"/>
  <c r="CQ220" i="1"/>
  <c r="CQ228" i="1"/>
  <c r="CQ225" i="1"/>
  <c r="CQ229" i="1"/>
  <c r="CQ223" i="1"/>
  <c r="CQ224" i="1"/>
  <c r="CQ230" i="1"/>
  <c r="CQ226" i="1"/>
  <c r="CQ227" i="1"/>
  <c r="CQ232" i="1"/>
  <c r="CQ234" i="1"/>
  <c r="CQ233" i="1"/>
  <c r="CQ231" i="1"/>
  <c r="CQ249" i="1"/>
  <c r="CQ245" i="1"/>
  <c r="CQ241" i="1"/>
  <c r="CQ250" i="1"/>
  <c r="CQ246" i="1"/>
  <c r="CQ242" i="1"/>
  <c r="CQ238" i="1"/>
  <c r="CQ251" i="1"/>
  <c r="CQ247" i="1"/>
  <c r="CQ243" i="1"/>
  <c r="CQ239" i="1"/>
  <c r="CQ237" i="1"/>
  <c r="CQ235" i="1"/>
  <c r="CQ248" i="1"/>
  <c r="CQ244" i="1"/>
  <c r="CQ240" i="1"/>
  <c r="CQ236" i="1"/>
  <c r="CQ259" i="1"/>
  <c r="CQ255" i="1"/>
  <c r="CQ260" i="1"/>
  <c r="CQ256" i="1"/>
  <c r="CQ254" i="1"/>
  <c r="CQ252" i="1"/>
  <c r="CQ261" i="1"/>
  <c r="CQ257" i="1"/>
  <c r="CQ253" i="1"/>
  <c r="CQ258" i="1"/>
  <c r="CQ264" i="1"/>
  <c r="CQ263" i="1"/>
  <c r="CQ262" i="1"/>
  <c r="CQ265" i="1"/>
  <c r="CQ266" i="1"/>
  <c r="CQ267" i="1"/>
  <c r="CQ268" i="1"/>
  <c r="CQ274" i="1"/>
  <c r="CQ273" i="1"/>
  <c r="CQ275" i="1"/>
  <c r="CQ272" i="1"/>
  <c r="CQ276" i="1"/>
  <c r="CQ271" i="1"/>
  <c r="CQ269" i="1"/>
  <c r="CQ270" i="1"/>
  <c r="CQ283" i="1"/>
  <c r="CQ280" i="1"/>
  <c r="CQ281" i="1"/>
  <c r="CQ279" i="1"/>
  <c r="CQ277" i="1"/>
  <c r="CQ282" i="1"/>
  <c r="CQ278" i="1"/>
  <c r="CQ299" i="1"/>
  <c r="CQ294" i="1"/>
  <c r="CQ298" i="1"/>
  <c r="CQ296" i="1"/>
  <c r="CQ287" i="1"/>
  <c r="CQ300" i="1"/>
  <c r="CQ297" i="1"/>
  <c r="CQ295" i="1"/>
  <c r="CQ301" i="1"/>
  <c r="CQ290" i="1"/>
  <c r="CQ289" i="1"/>
  <c r="CQ288" i="1"/>
  <c r="CQ286" i="1"/>
  <c r="CQ284" i="1"/>
  <c r="CQ292" i="1"/>
  <c r="CQ291" i="1"/>
  <c r="CQ285" i="1"/>
  <c r="CQ293" i="1"/>
  <c r="CQ302" i="1"/>
  <c r="CQ303" i="1"/>
  <c r="CQ311" i="1"/>
  <c r="CQ304" i="1"/>
  <c r="CQ312" i="1"/>
  <c r="CQ314" i="1"/>
  <c r="CQ313" i="1"/>
  <c r="CQ306" i="1"/>
  <c r="CQ308" i="1"/>
  <c r="CQ305" i="1"/>
  <c r="CQ309" i="1"/>
  <c r="CQ310" i="1"/>
  <c r="CQ307" i="1"/>
  <c r="CQ317" i="1"/>
  <c r="CQ315" i="1"/>
  <c r="CQ316" i="1"/>
  <c r="CQ318" i="1"/>
  <c r="CQ319" i="1"/>
  <c r="CQ323" i="1"/>
  <c r="CQ322" i="1"/>
  <c r="CQ320" i="1"/>
  <c r="CQ321" i="1"/>
  <c r="CQ325" i="1"/>
  <c r="CQ324" i="1"/>
  <c r="CQ328" i="1"/>
  <c r="CQ327" i="1"/>
  <c r="CQ331" i="1"/>
  <c r="CQ332" i="1"/>
  <c r="CQ326" i="1"/>
  <c r="CQ330" i="1"/>
  <c r="CQ329" i="1"/>
  <c r="CQ333" i="1"/>
  <c r="CQ334" i="1"/>
  <c r="CQ335" i="1"/>
  <c r="CQ336" i="1"/>
  <c r="CQ339" i="1"/>
  <c r="CQ337" i="1"/>
  <c r="CQ338" i="1"/>
  <c r="CQ346" i="1"/>
  <c r="CQ343" i="1"/>
  <c r="CQ344" i="1"/>
  <c r="CQ342" i="1"/>
  <c r="CQ340" i="1"/>
  <c r="CQ345" i="1"/>
  <c r="CQ341"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CJ25" i="1" l="1"/>
  <c r="CI25" i="1" s="1"/>
  <c r="CJ20" i="1"/>
  <c r="CI20" i="1" s="1"/>
  <c r="CJ31" i="1"/>
  <c r="CI31" i="1" s="1"/>
  <c r="CJ15" i="1"/>
  <c r="CI15" i="1" s="1"/>
  <c r="CJ26" i="1"/>
  <c r="CI26" i="1" s="1"/>
  <c r="CJ10" i="1"/>
  <c r="CI10" i="1" s="1"/>
  <c r="CJ21" i="1"/>
  <c r="CI21" i="1" s="1"/>
  <c r="CJ34" i="1"/>
  <c r="CI34" i="1" s="1"/>
  <c r="CJ32" i="1"/>
  <c r="CI32" i="1" s="1"/>
  <c r="CJ16" i="1"/>
  <c r="CI16" i="1" s="1"/>
  <c r="CJ27" i="1"/>
  <c r="CI27" i="1" s="1"/>
  <c r="CJ11" i="1"/>
  <c r="CI11" i="1" s="1"/>
  <c r="CJ22" i="1"/>
  <c r="CI22" i="1" s="1"/>
  <c r="CJ18" i="1"/>
  <c r="CI18" i="1" s="1"/>
  <c r="CJ33" i="1"/>
  <c r="CI33" i="1" s="1"/>
  <c r="CJ17" i="1"/>
  <c r="CI17" i="1" s="1"/>
  <c r="CJ30" i="1"/>
  <c r="CI30" i="1" s="1"/>
  <c r="CJ28" i="1"/>
  <c r="CI28" i="1" s="1"/>
  <c r="CJ12" i="1"/>
  <c r="CI12" i="1" s="1"/>
  <c r="CJ23" i="1"/>
  <c r="CI23" i="1" s="1"/>
  <c r="CJ29" i="1"/>
  <c r="CI29" i="1" s="1"/>
  <c r="CJ13" i="1"/>
  <c r="CI13" i="1" s="1"/>
  <c r="CJ24" i="1"/>
  <c r="CI24" i="1" s="1"/>
  <c r="CJ14" i="1"/>
  <c r="CI14" i="1" s="1"/>
  <c r="CJ35" i="1"/>
  <c r="CI35" i="1" s="1"/>
  <c r="CJ19" i="1"/>
  <c r="CI19" i="1" s="1"/>
  <c r="AV3484" i="31"/>
  <c r="AU3484" i="31"/>
  <c r="AT3484" i="31" s="1"/>
  <c r="AS3485" i="31"/>
  <c r="AM3485" i="31"/>
  <c r="AL3485" i="31"/>
  <c r="T3485" i="31" a="1"/>
  <c r="T3485" i="31" s="1"/>
  <c r="B3486" i="31"/>
  <c r="CJ38" i="1"/>
  <c r="CI38" i="1" s="1"/>
  <c r="CJ36" i="1"/>
  <c r="CI36" i="1" s="1"/>
  <c r="CJ37" i="1"/>
  <c r="CI37" i="1" s="1"/>
  <c r="CJ40" i="1"/>
  <c r="CI40" i="1" s="1"/>
  <c r="CJ39" i="1"/>
  <c r="CI39" i="1" s="1"/>
  <c r="CJ42" i="1"/>
  <c r="CI42" i="1" s="1"/>
  <c r="CJ41" i="1"/>
  <c r="CI41" i="1" s="1"/>
  <c r="CJ53" i="1"/>
  <c r="CI53" i="1" s="1"/>
  <c r="CJ49" i="1"/>
  <c r="CI49" i="1" s="1"/>
  <c r="CJ45" i="1"/>
  <c r="CI45" i="1" s="1"/>
  <c r="CJ50" i="1"/>
  <c r="CI50" i="1" s="1"/>
  <c r="CJ46" i="1"/>
  <c r="CI46" i="1" s="1"/>
  <c r="CJ51" i="1"/>
  <c r="CI51" i="1" s="1"/>
  <c r="CJ47" i="1"/>
  <c r="CI47" i="1" s="1"/>
  <c r="CJ43" i="1"/>
  <c r="CI43" i="1" s="1"/>
  <c r="CJ52" i="1"/>
  <c r="CI52" i="1" s="1"/>
  <c r="CJ48" i="1"/>
  <c r="CI48" i="1" s="1"/>
  <c r="CJ44" i="1"/>
  <c r="CI44" i="1" s="1"/>
  <c r="CJ87" i="1"/>
  <c r="CI87" i="1" s="1"/>
  <c r="CJ82" i="1"/>
  <c r="CI82" i="1" s="1"/>
  <c r="CJ73" i="1"/>
  <c r="CI73" i="1" s="1"/>
  <c r="CJ56" i="1"/>
  <c r="CI56" i="1" s="1"/>
  <c r="CJ55" i="1"/>
  <c r="CI55" i="1" s="1"/>
  <c r="CJ78" i="1"/>
  <c r="CI78" i="1" s="1"/>
  <c r="CJ76" i="1"/>
  <c r="CI76" i="1" s="1"/>
  <c r="CJ81" i="1"/>
  <c r="CI81" i="1" s="1"/>
  <c r="CJ70" i="1"/>
  <c r="CI70" i="1" s="1"/>
  <c r="CJ88" i="1"/>
  <c r="CI88" i="1" s="1"/>
  <c r="CJ84" i="1"/>
  <c r="CI84" i="1" s="1"/>
  <c r="CJ75" i="1"/>
  <c r="CI75" i="1" s="1"/>
  <c r="CJ67" i="1"/>
  <c r="CI67" i="1" s="1"/>
  <c r="CJ63" i="1"/>
  <c r="CI63" i="1" s="1"/>
  <c r="CJ62" i="1"/>
  <c r="CI62" i="1" s="1"/>
  <c r="CJ60" i="1"/>
  <c r="CI60" i="1" s="1"/>
  <c r="CJ86" i="1"/>
  <c r="CI86" i="1" s="1"/>
  <c r="CJ85" i="1"/>
  <c r="CI85" i="1" s="1"/>
  <c r="CJ83" i="1"/>
  <c r="CI83" i="1" s="1"/>
  <c r="CJ79" i="1"/>
  <c r="CI79" i="1" s="1"/>
  <c r="CJ65" i="1"/>
  <c r="CI65" i="1" s="1"/>
  <c r="CJ61" i="1"/>
  <c r="CI61" i="1" s="1"/>
  <c r="CJ59" i="1"/>
  <c r="CI59" i="1" s="1"/>
  <c r="CJ57" i="1"/>
  <c r="CI57" i="1" s="1"/>
  <c r="CJ54" i="1"/>
  <c r="CI54" i="1" s="1"/>
  <c r="CJ68" i="1"/>
  <c r="CI68" i="1" s="1"/>
  <c r="CJ80" i="1"/>
  <c r="CI80" i="1" s="1"/>
  <c r="CJ72" i="1"/>
  <c r="CI72" i="1" s="1"/>
  <c r="CJ77" i="1"/>
  <c r="CI77" i="1" s="1"/>
  <c r="CJ74" i="1"/>
  <c r="CI74" i="1" s="1"/>
  <c r="CJ71" i="1"/>
  <c r="CI71" i="1" s="1"/>
  <c r="CJ69" i="1"/>
  <c r="CI69" i="1" s="1"/>
  <c r="CJ66" i="1"/>
  <c r="CI66" i="1" s="1"/>
  <c r="CJ64" i="1"/>
  <c r="CI64" i="1" s="1"/>
  <c r="CJ58" i="1"/>
  <c r="CI58" i="1" s="1"/>
  <c r="CJ148" i="1"/>
  <c r="CI148" i="1" s="1"/>
  <c r="CJ145" i="1"/>
  <c r="CI145" i="1" s="1"/>
  <c r="CJ140" i="1"/>
  <c r="CI140" i="1" s="1"/>
  <c r="CJ138" i="1"/>
  <c r="CI138" i="1" s="1"/>
  <c r="CJ129" i="1"/>
  <c r="CI129" i="1" s="1"/>
  <c r="CJ125" i="1"/>
  <c r="CI125" i="1" s="1"/>
  <c r="CJ107" i="1"/>
  <c r="CI107" i="1" s="1"/>
  <c r="CJ95" i="1"/>
  <c r="CI95" i="1" s="1"/>
  <c r="CJ119" i="1"/>
  <c r="CI119" i="1" s="1"/>
  <c r="CJ118" i="1"/>
  <c r="CI118" i="1" s="1"/>
  <c r="CJ117" i="1"/>
  <c r="CI117" i="1" s="1"/>
  <c r="CJ116" i="1"/>
  <c r="CI116" i="1" s="1"/>
  <c r="CJ115" i="1"/>
  <c r="CI115" i="1" s="1"/>
  <c r="CJ114" i="1"/>
  <c r="CI114" i="1" s="1"/>
  <c r="CJ113" i="1"/>
  <c r="CI113" i="1" s="1"/>
  <c r="CJ111" i="1"/>
  <c r="CI111" i="1" s="1"/>
  <c r="CJ109" i="1"/>
  <c r="CI109" i="1" s="1"/>
  <c r="CJ103" i="1"/>
  <c r="CI103" i="1" s="1"/>
  <c r="CJ96" i="1"/>
  <c r="CI96" i="1" s="1"/>
  <c r="CJ90" i="1"/>
  <c r="CI90" i="1" s="1"/>
  <c r="CJ89" i="1"/>
  <c r="CI89" i="1" s="1"/>
  <c r="CJ104" i="1"/>
  <c r="CI104" i="1" s="1"/>
  <c r="CJ146" i="1"/>
  <c r="CI146" i="1" s="1"/>
  <c r="CJ134" i="1"/>
  <c r="CI134" i="1" s="1"/>
  <c r="CJ130" i="1"/>
  <c r="CI130" i="1" s="1"/>
  <c r="CJ127" i="1"/>
  <c r="CI127" i="1" s="1"/>
  <c r="CJ124" i="1"/>
  <c r="CI124" i="1" s="1"/>
  <c r="CJ123" i="1"/>
  <c r="CI123" i="1" s="1"/>
  <c r="CJ121" i="1"/>
  <c r="CI121" i="1" s="1"/>
  <c r="CJ97" i="1"/>
  <c r="CI97" i="1" s="1"/>
  <c r="CJ147" i="1"/>
  <c r="CI147" i="1" s="1"/>
  <c r="CJ139" i="1"/>
  <c r="CI139" i="1" s="1"/>
  <c r="CJ137" i="1"/>
  <c r="CI137" i="1" s="1"/>
  <c r="CJ135" i="1"/>
  <c r="CI135" i="1" s="1"/>
  <c r="CJ128" i="1"/>
  <c r="CI128" i="1" s="1"/>
  <c r="CJ120" i="1"/>
  <c r="CI120" i="1" s="1"/>
  <c r="CJ105" i="1"/>
  <c r="CI105" i="1" s="1"/>
  <c r="CJ101" i="1"/>
  <c r="CI101" i="1" s="1"/>
  <c r="CJ100" i="1"/>
  <c r="CI100" i="1" s="1"/>
  <c r="CJ91" i="1"/>
  <c r="CI91" i="1" s="1"/>
  <c r="CJ144" i="1"/>
  <c r="CI144" i="1" s="1"/>
  <c r="CJ143" i="1"/>
  <c r="CI143" i="1" s="1"/>
  <c r="CJ142" i="1"/>
  <c r="CI142" i="1" s="1"/>
  <c r="CJ141" i="1"/>
  <c r="CI141" i="1" s="1"/>
  <c r="CJ136" i="1"/>
  <c r="CI136" i="1" s="1"/>
  <c r="CJ133" i="1"/>
  <c r="CI133" i="1" s="1"/>
  <c r="CJ132" i="1"/>
  <c r="CI132" i="1" s="1"/>
  <c r="CJ131" i="1"/>
  <c r="CI131" i="1" s="1"/>
  <c r="CJ126" i="1"/>
  <c r="CI126" i="1" s="1"/>
  <c r="CJ122" i="1"/>
  <c r="CI122" i="1" s="1"/>
  <c r="CJ112" i="1"/>
  <c r="CI112" i="1" s="1"/>
  <c r="CJ110" i="1"/>
  <c r="CI110" i="1" s="1"/>
  <c r="CJ108" i="1"/>
  <c r="CI108" i="1" s="1"/>
  <c r="CJ102" i="1"/>
  <c r="CI102" i="1" s="1"/>
  <c r="CJ99" i="1"/>
  <c r="CI99" i="1" s="1"/>
  <c r="CJ98" i="1"/>
  <c r="CI98" i="1" s="1"/>
  <c r="CJ92" i="1"/>
  <c r="CI92" i="1" s="1"/>
  <c r="CJ94" i="1"/>
  <c r="CI94" i="1" s="1"/>
  <c r="CJ93" i="1"/>
  <c r="CI93" i="1" s="1"/>
  <c r="CJ106" i="1"/>
  <c r="CI106" i="1" s="1"/>
  <c r="CJ156" i="1"/>
  <c r="CJ155" i="1"/>
  <c r="CJ154" i="1"/>
  <c r="CJ150" i="1"/>
  <c r="CJ151" i="1"/>
  <c r="CJ152" i="1"/>
  <c r="CJ149" i="1"/>
  <c r="CJ153" i="1"/>
  <c r="CJ168" i="1"/>
  <c r="CJ162" i="1"/>
  <c r="CJ167" i="1"/>
  <c r="CJ163" i="1"/>
  <c r="CJ157" i="1"/>
  <c r="CJ165" i="1"/>
  <c r="CJ164" i="1"/>
  <c r="CJ166" i="1"/>
  <c r="CJ160" i="1"/>
  <c r="CJ158" i="1"/>
  <c r="CJ161" i="1"/>
  <c r="CJ159" i="1"/>
  <c r="CJ174" i="1"/>
  <c r="CJ170" i="1"/>
  <c r="CJ171" i="1"/>
  <c r="CJ172" i="1"/>
  <c r="CJ173" i="1"/>
  <c r="CJ169" i="1"/>
  <c r="CJ180" i="1"/>
  <c r="CJ175" i="1"/>
  <c r="CJ176" i="1"/>
  <c r="CJ178" i="1"/>
  <c r="CJ179" i="1"/>
  <c r="CJ177" i="1"/>
  <c r="CJ182" i="1"/>
  <c r="CJ181" i="1"/>
  <c r="CJ186" i="1"/>
  <c r="CJ185" i="1"/>
  <c r="CJ183" i="1"/>
  <c r="CJ184" i="1"/>
  <c r="CJ188" i="1"/>
  <c r="CJ187" i="1"/>
  <c r="CJ205" i="1"/>
  <c r="CJ203" i="1"/>
  <c r="CJ201" i="1"/>
  <c r="CJ199" i="1"/>
  <c r="CJ197" i="1"/>
  <c r="CJ195" i="1"/>
  <c r="CJ193" i="1"/>
  <c r="CJ189" i="1"/>
  <c r="CJ204" i="1"/>
  <c r="CJ202" i="1"/>
  <c r="CJ200" i="1"/>
  <c r="CJ198" i="1"/>
  <c r="CJ196" i="1"/>
  <c r="CJ194" i="1"/>
  <c r="CJ192" i="1"/>
  <c r="CJ191" i="1"/>
  <c r="CJ190" i="1"/>
  <c r="CJ210" i="1"/>
  <c r="CJ208" i="1"/>
  <c r="CJ206" i="1"/>
  <c r="CJ207" i="1"/>
  <c r="CJ209" i="1"/>
  <c r="CJ212" i="1"/>
  <c r="CJ211" i="1"/>
  <c r="CJ214" i="1"/>
  <c r="CJ213" i="1"/>
  <c r="CJ216" i="1"/>
  <c r="CJ215" i="1"/>
  <c r="CJ218" i="1"/>
  <c r="CJ217" i="1"/>
  <c r="CJ222" i="1"/>
  <c r="CJ221" i="1"/>
  <c r="CJ219" i="1"/>
  <c r="CJ220" i="1"/>
  <c r="CJ230" i="1"/>
  <c r="CJ226" i="1"/>
  <c r="CJ227" i="1"/>
  <c r="CJ228" i="1"/>
  <c r="CJ225" i="1"/>
  <c r="CJ229" i="1"/>
  <c r="CJ223" i="1"/>
  <c r="CJ224" i="1"/>
  <c r="CJ234" i="1"/>
  <c r="CJ233" i="1"/>
  <c r="CJ231" i="1"/>
  <c r="CJ232" i="1"/>
  <c r="CJ251" i="1"/>
  <c r="CJ247" i="1"/>
  <c r="CJ243" i="1"/>
  <c r="CJ239" i="1"/>
  <c r="CJ237" i="1"/>
  <c r="CJ235" i="1"/>
  <c r="CJ248" i="1"/>
  <c r="CJ244" i="1"/>
  <c r="CJ240" i="1"/>
  <c r="CJ236" i="1"/>
  <c r="CJ249" i="1"/>
  <c r="CJ245" i="1"/>
  <c r="CJ241" i="1"/>
  <c r="CJ250" i="1"/>
  <c r="CJ246" i="1"/>
  <c r="CJ242" i="1"/>
  <c r="CJ238" i="1"/>
  <c r="CJ261" i="1"/>
  <c r="CJ257" i="1"/>
  <c r="CJ253" i="1"/>
  <c r="CJ258" i="1"/>
  <c r="CJ259" i="1"/>
  <c r="CJ255" i="1"/>
  <c r="CJ260" i="1"/>
  <c r="CJ256" i="1"/>
  <c r="CJ254" i="1"/>
  <c r="CJ252" i="1"/>
  <c r="CJ264" i="1"/>
  <c r="CJ263" i="1"/>
  <c r="CJ262" i="1"/>
  <c r="CJ266" i="1"/>
  <c r="CJ265" i="1"/>
  <c r="CJ268" i="1"/>
  <c r="CJ267" i="1"/>
  <c r="CJ276" i="1"/>
  <c r="CJ271" i="1"/>
  <c r="CJ269" i="1"/>
  <c r="CJ270" i="1"/>
  <c r="CJ274" i="1"/>
  <c r="CJ273" i="1"/>
  <c r="CJ275" i="1"/>
  <c r="CJ272" i="1"/>
  <c r="CJ283" i="1"/>
  <c r="CJ282" i="1"/>
  <c r="CJ278" i="1"/>
  <c r="CJ280" i="1"/>
  <c r="CJ281" i="1"/>
  <c r="CJ279" i="1"/>
  <c r="CJ277" i="1"/>
  <c r="CJ301" i="1"/>
  <c r="CJ297" i="1"/>
  <c r="CJ290" i="1"/>
  <c r="CJ288" i="1"/>
  <c r="CJ286" i="1"/>
  <c r="CJ289" i="1"/>
  <c r="CJ284" i="1"/>
  <c r="CJ292" i="1"/>
  <c r="CJ291" i="1"/>
  <c r="CJ285" i="1"/>
  <c r="CJ293" i="1"/>
  <c r="CJ299" i="1"/>
  <c r="CJ294" i="1"/>
  <c r="CJ298" i="1"/>
  <c r="CJ296" i="1"/>
  <c r="CJ287" i="1"/>
  <c r="CJ300" i="1"/>
  <c r="CJ295" i="1"/>
  <c r="CJ303" i="1"/>
  <c r="CJ302" i="1"/>
  <c r="CJ314" i="1"/>
  <c r="CJ313" i="1"/>
  <c r="CJ306" i="1"/>
  <c r="CJ308" i="1"/>
  <c r="CJ305" i="1"/>
  <c r="CJ309" i="1"/>
  <c r="CJ307" i="1"/>
  <c r="CJ311" i="1"/>
  <c r="CJ310" i="1"/>
  <c r="CJ304" i="1"/>
  <c r="CJ312" i="1"/>
  <c r="CJ317" i="1"/>
  <c r="CJ315" i="1"/>
  <c r="CJ316" i="1"/>
  <c r="CJ319" i="1"/>
  <c r="CJ318" i="1"/>
  <c r="CJ323" i="1"/>
  <c r="CJ322" i="1"/>
  <c r="CJ320" i="1"/>
  <c r="CJ321" i="1"/>
  <c r="CJ324" i="1"/>
  <c r="CJ325" i="1"/>
  <c r="CJ332" i="1"/>
  <c r="CJ331" i="1"/>
  <c r="CJ329" i="1"/>
  <c r="CJ328" i="1"/>
  <c r="CJ326" i="1"/>
  <c r="CJ327" i="1"/>
  <c r="CJ330" i="1"/>
  <c r="CJ333" i="1"/>
  <c r="CJ334" i="1"/>
  <c r="CJ336" i="1"/>
  <c r="CJ335" i="1"/>
  <c r="CJ339" i="1"/>
  <c r="CJ338" i="1"/>
  <c r="CJ337" i="1"/>
  <c r="CJ344" i="1"/>
  <c r="CJ342" i="1"/>
  <c r="CJ340" i="1"/>
  <c r="CJ345" i="1"/>
  <c r="CJ341" i="1"/>
  <c r="CJ346" i="1"/>
  <c r="CJ343"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B33" i="1" l="1"/>
  <c r="CA33" i="1"/>
  <c r="BZ33" i="1"/>
  <c r="BY33" i="1"/>
  <c r="BX33" i="1"/>
  <c r="BW33" i="1"/>
  <c r="BV33" i="1"/>
  <c r="BU33" i="1"/>
  <c r="BT33" i="1"/>
  <c r="BS33" i="1"/>
  <c r="CC33" i="1"/>
  <c r="CH33" i="1"/>
  <c r="CF33" i="1"/>
  <c r="CE33" i="1" s="1"/>
  <c r="CD33" i="1"/>
  <c r="CD18" i="1"/>
  <c r="CC18" i="1"/>
  <c r="CB18" i="1"/>
  <c r="CA18" i="1"/>
  <c r="BT18" i="1"/>
  <c r="BZ18" i="1"/>
  <c r="BY18" i="1"/>
  <c r="BX18" i="1"/>
  <c r="BW18" i="1"/>
  <c r="BV18" i="1"/>
  <c r="BU18" i="1"/>
  <c r="BS18" i="1"/>
  <c r="BO18" i="1" s="1"/>
  <c r="CH18" i="1"/>
  <c r="CF18" i="1"/>
  <c r="CE18" i="1" s="1"/>
  <c r="BZ27" i="1"/>
  <c r="BY27" i="1"/>
  <c r="BX27" i="1"/>
  <c r="BW27" i="1"/>
  <c r="BV27" i="1"/>
  <c r="BU27" i="1"/>
  <c r="CA27" i="1"/>
  <c r="BT27" i="1"/>
  <c r="BS27" i="1"/>
  <c r="CH27" i="1"/>
  <c r="CF27" i="1"/>
  <c r="CE27" i="1" s="1"/>
  <c r="CD27" i="1"/>
  <c r="CC27" i="1"/>
  <c r="CB27" i="1"/>
  <c r="CH19" i="1"/>
  <c r="CF19" i="1"/>
  <c r="CE19" i="1" s="1"/>
  <c r="CD19" i="1"/>
  <c r="BW19" i="1"/>
  <c r="CC19" i="1"/>
  <c r="CB19" i="1"/>
  <c r="BS19" i="1"/>
  <c r="CA19" i="1"/>
  <c r="BZ19" i="1"/>
  <c r="BY19" i="1"/>
  <c r="BX19" i="1"/>
  <c r="BV19" i="1"/>
  <c r="BT19" i="1"/>
  <c r="BU19" i="1"/>
  <c r="BY16" i="1"/>
  <c r="BX16" i="1"/>
  <c r="BW16" i="1"/>
  <c r="BV16" i="1"/>
  <c r="BU16" i="1"/>
  <c r="CD16" i="1"/>
  <c r="BT16" i="1"/>
  <c r="BS16" i="1"/>
  <c r="BQ16" i="1" s="1"/>
  <c r="BR16" i="1" s="1"/>
  <c r="BZ16" i="1"/>
  <c r="CH16" i="1"/>
  <c r="CF16" i="1"/>
  <c r="CE16" i="1" s="1"/>
  <c r="CC16" i="1"/>
  <c r="CA16" i="1"/>
  <c r="CB16" i="1"/>
  <c r="CH35" i="1"/>
  <c r="CF35" i="1"/>
  <c r="CE35" i="1" s="1"/>
  <c r="CD35" i="1"/>
  <c r="CC35" i="1"/>
  <c r="CB35" i="1"/>
  <c r="BW35" i="1"/>
  <c r="CA35" i="1"/>
  <c r="BS35" i="1"/>
  <c r="BQ35" i="1" s="1"/>
  <c r="BR35" i="1" s="1"/>
  <c r="BZ35" i="1"/>
  <c r="BY35" i="1"/>
  <c r="BX35" i="1"/>
  <c r="BV35" i="1"/>
  <c r="BU35" i="1"/>
  <c r="BT35" i="1"/>
  <c r="BY32" i="1"/>
  <c r="BX32" i="1"/>
  <c r="BW32" i="1"/>
  <c r="BV32" i="1"/>
  <c r="CD32" i="1"/>
  <c r="BU32" i="1"/>
  <c r="BT32" i="1"/>
  <c r="BS32" i="1"/>
  <c r="BO32" i="1" s="1"/>
  <c r="CH32" i="1"/>
  <c r="CF32" i="1"/>
  <c r="CE32" i="1" s="1"/>
  <c r="CC32" i="1"/>
  <c r="CA32" i="1"/>
  <c r="BZ32" i="1"/>
  <c r="CB32" i="1"/>
  <c r="BS14" i="1"/>
  <c r="BO14" i="1" s="1"/>
  <c r="CH14" i="1"/>
  <c r="BT14" i="1"/>
  <c r="CF14" i="1"/>
  <c r="CE14" i="1" s="1"/>
  <c r="CD14" i="1"/>
  <c r="CC14" i="1"/>
  <c r="CB14" i="1"/>
  <c r="BX14" i="1"/>
  <c r="CA14" i="1"/>
  <c r="BZ14" i="1"/>
  <c r="BY14" i="1"/>
  <c r="BW14" i="1"/>
  <c r="BV14" i="1"/>
  <c r="BU14" i="1"/>
  <c r="CF34" i="1"/>
  <c r="CE34" i="1" s="1"/>
  <c r="CD34" i="1"/>
  <c r="CC34" i="1"/>
  <c r="CB34" i="1"/>
  <c r="CA34" i="1"/>
  <c r="BZ34" i="1"/>
  <c r="BT34" i="1"/>
  <c r="BY34" i="1"/>
  <c r="BX34" i="1"/>
  <c r="BW34" i="1"/>
  <c r="BV34" i="1"/>
  <c r="BU34" i="1"/>
  <c r="BS34" i="1"/>
  <c r="BO34" i="1" s="1"/>
  <c r="CH34" i="1"/>
  <c r="BV24" i="1"/>
  <c r="CF24" i="1"/>
  <c r="CE24" i="1" s="1"/>
  <c r="CD24" i="1"/>
  <c r="CC24" i="1"/>
  <c r="CB24" i="1"/>
  <c r="CA24" i="1"/>
  <c r="BZ24" i="1"/>
  <c r="BY24" i="1"/>
  <c r="BX24" i="1"/>
  <c r="BW24" i="1"/>
  <c r="BU24" i="1"/>
  <c r="BT24" i="1"/>
  <c r="CH24" i="1"/>
  <c r="BS24" i="1"/>
  <c r="BQ24" i="1" s="1"/>
  <c r="BR24" i="1" s="1"/>
  <c r="BX21" i="1"/>
  <c r="BW21" i="1"/>
  <c r="BV21" i="1"/>
  <c r="BU21" i="1"/>
  <c r="BT21" i="1"/>
  <c r="BS21" i="1"/>
  <c r="CC21" i="1"/>
  <c r="CH21" i="1"/>
  <c r="BY21" i="1"/>
  <c r="CF21" i="1"/>
  <c r="CE21" i="1" s="1"/>
  <c r="CD21" i="1"/>
  <c r="CB21" i="1"/>
  <c r="CA21" i="1"/>
  <c r="BZ21" i="1"/>
  <c r="CF13" i="1"/>
  <c r="CE13" i="1" s="1"/>
  <c r="CD13" i="1"/>
  <c r="CC13" i="1"/>
  <c r="CB13" i="1"/>
  <c r="CA13" i="1"/>
  <c r="BZ13" i="1"/>
  <c r="BY13" i="1"/>
  <c r="BU13" i="1"/>
  <c r="BX13" i="1"/>
  <c r="BW13" i="1"/>
  <c r="BV13" i="1"/>
  <c r="BT13" i="1"/>
  <c r="BS13" i="1"/>
  <c r="BQ13" i="1" s="1"/>
  <c r="BR13" i="1" s="1"/>
  <c r="CH13" i="1"/>
  <c r="BW10" i="1"/>
  <c r="BV10" i="1"/>
  <c r="BU10" i="1"/>
  <c r="BT10" i="1"/>
  <c r="BS10" i="1"/>
  <c r="BO10" i="1" s="1"/>
  <c r="CH10" i="1"/>
  <c r="CB10" i="1"/>
  <c r="CF10" i="1"/>
  <c r="CE10" i="1" s="1"/>
  <c r="CD10" i="1"/>
  <c r="CC10" i="1"/>
  <c r="CA10" i="1"/>
  <c r="BZ10" i="1"/>
  <c r="BX10" i="1"/>
  <c r="BY10" i="1"/>
  <c r="CA22" i="1"/>
  <c r="CF22" i="1"/>
  <c r="CE22" i="1" s="1"/>
  <c r="BZ22" i="1"/>
  <c r="BY22" i="1"/>
  <c r="BX22" i="1"/>
  <c r="BW22" i="1"/>
  <c r="BV22" i="1"/>
  <c r="CB22" i="1"/>
  <c r="BU22" i="1"/>
  <c r="BT22" i="1"/>
  <c r="BS22" i="1"/>
  <c r="CH22" i="1"/>
  <c r="CD22" i="1"/>
  <c r="CC22" i="1"/>
  <c r="CF29" i="1"/>
  <c r="CE29" i="1" s="1"/>
  <c r="BU29" i="1"/>
  <c r="CD29" i="1"/>
  <c r="CC29" i="1"/>
  <c r="CB29" i="1"/>
  <c r="CA29" i="1"/>
  <c r="BZ29" i="1"/>
  <c r="BY29" i="1"/>
  <c r="BX29" i="1"/>
  <c r="BW29" i="1"/>
  <c r="BV29" i="1"/>
  <c r="BT29" i="1"/>
  <c r="BS29" i="1"/>
  <c r="BQ29" i="1" s="1"/>
  <c r="BR29" i="1" s="1"/>
  <c r="CH29" i="1"/>
  <c r="BW26" i="1"/>
  <c r="BV26" i="1"/>
  <c r="BU26" i="1"/>
  <c r="BT26" i="1"/>
  <c r="BS26" i="1"/>
  <c r="BO26" i="1" s="1"/>
  <c r="CH26" i="1"/>
  <c r="CF26" i="1"/>
  <c r="CE26" i="1" s="1"/>
  <c r="CB26" i="1"/>
  <c r="CD26" i="1"/>
  <c r="CC26" i="1"/>
  <c r="CA26" i="1"/>
  <c r="BZ26" i="1"/>
  <c r="BX26" i="1"/>
  <c r="BY26" i="1"/>
  <c r="BO29" i="1"/>
  <c r="BQ19" i="1"/>
  <c r="BR19" i="1" s="1"/>
  <c r="BO27" i="1"/>
  <c r="BQ14" i="1"/>
  <c r="BR14" i="1" s="1"/>
  <c r="BO19" i="1"/>
  <c r="BQ21" i="1"/>
  <c r="BR21" i="1" s="1"/>
  <c r="BQ27" i="1"/>
  <c r="BR27" i="1" s="1"/>
  <c r="BO21" i="1"/>
  <c r="BQ33" i="1"/>
  <c r="BR33" i="1" s="1"/>
  <c r="BQ22" i="1"/>
  <c r="BR22" i="1" s="1"/>
  <c r="BO22" i="1"/>
  <c r="BO33" i="1"/>
  <c r="BQ18" i="1"/>
  <c r="BR18" i="1" s="1"/>
  <c r="CD23" i="1"/>
  <c r="CC23" i="1"/>
  <c r="CB23" i="1"/>
  <c r="CA23" i="1"/>
  <c r="BZ23" i="1"/>
  <c r="BY23" i="1"/>
  <c r="BS23" i="1"/>
  <c r="BO23" i="1" s="1"/>
  <c r="BX23" i="1"/>
  <c r="BW23" i="1"/>
  <c r="BV23" i="1"/>
  <c r="BU23" i="1"/>
  <c r="BT23" i="1"/>
  <c r="CH23" i="1"/>
  <c r="CF23" i="1"/>
  <c r="CE23" i="1" s="1"/>
  <c r="BV15" i="1"/>
  <c r="BU15" i="1"/>
  <c r="BT15" i="1"/>
  <c r="BS15" i="1"/>
  <c r="BQ15" i="1" s="1"/>
  <c r="BR15" i="1" s="1"/>
  <c r="CH15" i="1"/>
  <c r="CA15" i="1"/>
  <c r="CF15" i="1"/>
  <c r="CE15" i="1" s="1"/>
  <c r="CD15" i="1"/>
  <c r="CC15" i="1"/>
  <c r="CB15" i="1"/>
  <c r="BZ15" i="1"/>
  <c r="BY15" i="1"/>
  <c r="BX15" i="1"/>
  <c r="BW15" i="1"/>
  <c r="CC12" i="1"/>
  <c r="CB12" i="1"/>
  <c r="CA12" i="1"/>
  <c r="BZ12" i="1"/>
  <c r="BY12" i="1"/>
  <c r="BX12" i="1"/>
  <c r="BW12" i="1"/>
  <c r="BV12" i="1"/>
  <c r="CH12" i="1"/>
  <c r="BU12" i="1"/>
  <c r="BT12" i="1"/>
  <c r="BS12" i="1"/>
  <c r="BO12" i="1" s="1"/>
  <c r="CF12" i="1"/>
  <c r="CE12" i="1" s="1"/>
  <c r="CD12" i="1"/>
  <c r="BV31" i="1"/>
  <c r="BU31" i="1"/>
  <c r="BT31" i="1"/>
  <c r="BS31" i="1"/>
  <c r="BQ31" i="1" s="1"/>
  <c r="BR31" i="1" s="1"/>
  <c r="CH31" i="1"/>
  <c r="CF31" i="1"/>
  <c r="CE31" i="1" s="1"/>
  <c r="CA31" i="1"/>
  <c r="CD31" i="1"/>
  <c r="CC31" i="1"/>
  <c r="CB31" i="1"/>
  <c r="BW31" i="1"/>
  <c r="BZ31" i="1"/>
  <c r="BY31" i="1"/>
  <c r="BX31" i="1"/>
  <c r="BZ11" i="1"/>
  <c r="BY11" i="1"/>
  <c r="BX11" i="1"/>
  <c r="BW11" i="1"/>
  <c r="BV11" i="1"/>
  <c r="BU11" i="1"/>
  <c r="CA11" i="1"/>
  <c r="BT11" i="1"/>
  <c r="BS11" i="1"/>
  <c r="BO11" i="1" s="1"/>
  <c r="CH11" i="1"/>
  <c r="CF11" i="1"/>
  <c r="CE11" i="1" s="1"/>
  <c r="CD11" i="1"/>
  <c r="CC11" i="1"/>
  <c r="CB11" i="1"/>
  <c r="CC28" i="1"/>
  <c r="CB28" i="1"/>
  <c r="CA28" i="1"/>
  <c r="BZ28" i="1"/>
  <c r="BY28" i="1"/>
  <c r="BX28" i="1"/>
  <c r="BW28" i="1"/>
  <c r="CD28" i="1"/>
  <c r="BV28" i="1"/>
  <c r="BU28" i="1"/>
  <c r="CH28" i="1"/>
  <c r="BT28" i="1"/>
  <c r="BS28" i="1"/>
  <c r="BO28" i="1" s="1"/>
  <c r="CF28" i="1"/>
  <c r="CE28" i="1" s="1"/>
  <c r="BU20" i="1"/>
  <c r="BT20" i="1"/>
  <c r="BV20" i="1"/>
  <c r="BS20" i="1"/>
  <c r="BQ20" i="1" s="1"/>
  <c r="BR20" i="1" s="1"/>
  <c r="CH20" i="1"/>
  <c r="CF20" i="1"/>
  <c r="CE20" i="1" s="1"/>
  <c r="BZ20" i="1"/>
  <c r="CD20" i="1"/>
  <c r="CC20" i="1"/>
  <c r="CB20" i="1"/>
  <c r="CA20" i="1"/>
  <c r="BY20" i="1"/>
  <c r="BX20" i="1"/>
  <c r="BW20" i="1"/>
  <c r="BS30" i="1"/>
  <c r="BO30" i="1" s="1"/>
  <c r="CH30" i="1"/>
  <c r="BT30" i="1"/>
  <c r="CF30" i="1"/>
  <c r="CE30" i="1" s="1"/>
  <c r="CD30" i="1"/>
  <c r="CC30" i="1"/>
  <c r="BX30" i="1"/>
  <c r="CB30" i="1"/>
  <c r="CA30" i="1"/>
  <c r="BZ30" i="1"/>
  <c r="BY30" i="1"/>
  <c r="BW30" i="1"/>
  <c r="BV30" i="1"/>
  <c r="BU30" i="1"/>
  <c r="BT25" i="1"/>
  <c r="BS25" i="1"/>
  <c r="BO25" i="1" s="1"/>
  <c r="BY25" i="1"/>
  <c r="CH25" i="1"/>
  <c r="CF25" i="1"/>
  <c r="CE25" i="1" s="1"/>
  <c r="CD25" i="1"/>
  <c r="BU25" i="1"/>
  <c r="CC25" i="1"/>
  <c r="CB25" i="1"/>
  <c r="CA25" i="1"/>
  <c r="BZ25" i="1"/>
  <c r="BX25" i="1"/>
  <c r="BW25" i="1"/>
  <c r="BV25" i="1"/>
  <c r="CB17" i="1"/>
  <c r="CC17" i="1"/>
  <c r="CA17" i="1"/>
  <c r="BZ17" i="1"/>
  <c r="BY17" i="1"/>
  <c r="BX17" i="1"/>
  <c r="BW17" i="1"/>
  <c r="BV17" i="1"/>
  <c r="BU17" i="1"/>
  <c r="BT17" i="1"/>
  <c r="BS17" i="1"/>
  <c r="BQ17" i="1" s="1"/>
  <c r="BR17" i="1" s="1"/>
  <c r="CH17" i="1"/>
  <c r="CF17" i="1"/>
  <c r="CE17" i="1" s="1"/>
  <c r="CD17" i="1"/>
  <c r="AS3486" i="31"/>
  <c r="AM3486" i="31"/>
  <c r="AL3486" i="31"/>
  <c r="T3486" i="31" a="1"/>
  <c r="T3486" i="31" s="1"/>
  <c r="B3487" i="31"/>
  <c r="AV3485" i="31"/>
  <c r="AU3485" i="31" s="1"/>
  <c r="AT3485" i="31" s="1"/>
  <c r="BW37" i="1"/>
  <c r="CH37" i="1"/>
  <c r="BV37" i="1"/>
  <c r="BU37" i="1"/>
  <c r="CF37" i="1"/>
  <c r="CE37" i="1" s="1"/>
  <c r="BT37" i="1"/>
  <c r="BS37" i="1"/>
  <c r="BQ37" i="1" s="1"/>
  <c r="BR37" i="1" s="1"/>
  <c r="CD37" i="1"/>
  <c r="CC37" i="1"/>
  <c r="CB37" i="1"/>
  <c r="CA37" i="1"/>
  <c r="BZ37" i="1"/>
  <c r="BY37" i="1"/>
  <c r="BX37" i="1"/>
  <c r="CF36" i="1"/>
  <c r="CE36" i="1" s="1"/>
  <c r="BT36" i="1"/>
  <c r="BS36" i="1"/>
  <c r="BQ36" i="1" s="1"/>
  <c r="BR36" i="1" s="1"/>
  <c r="CD36" i="1"/>
  <c r="CC36" i="1"/>
  <c r="CB36" i="1"/>
  <c r="CA36" i="1"/>
  <c r="BZ36" i="1"/>
  <c r="BY36" i="1"/>
  <c r="BX36" i="1"/>
  <c r="BW36" i="1"/>
  <c r="CH36" i="1"/>
  <c r="BV36" i="1"/>
  <c r="BU36" i="1"/>
  <c r="BZ38" i="1"/>
  <c r="BY38" i="1"/>
  <c r="BX38" i="1"/>
  <c r="BW38" i="1"/>
  <c r="CH38" i="1"/>
  <c r="BV38" i="1"/>
  <c r="BU38" i="1"/>
  <c r="CF38" i="1"/>
  <c r="CE38" i="1" s="1"/>
  <c r="BT38" i="1"/>
  <c r="BS38" i="1"/>
  <c r="BQ38" i="1" s="1"/>
  <c r="BR38" i="1" s="1"/>
  <c r="CD38" i="1"/>
  <c r="CC38" i="1"/>
  <c r="CB38" i="1"/>
  <c r="CA38" i="1"/>
  <c r="BW39" i="1"/>
  <c r="CH39" i="1"/>
  <c r="BV39" i="1"/>
  <c r="BU39" i="1"/>
  <c r="CF39" i="1"/>
  <c r="CE39" i="1" s="1"/>
  <c r="BT39" i="1"/>
  <c r="BS39" i="1"/>
  <c r="BO39" i="1" s="1"/>
  <c r="CD39" i="1"/>
  <c r="CC39" i="1"/>
  <c r="CB39" i="1"/>
  <c r="CA39" i="1"/>
  <c r="BZ39" i="1"/>
  <c r="BY39" i="1"/>
  <c r="BX39" i="1"/>
  <c r="BZ40" i="1"/>
  <c r="BY40" i="1"/>
  <c r="BX40" i="1"/>
  <c r="BW40" i="1"/>
  <c r="CH40" i="1"/>
  <c r="BV40" i="1"/>
  <c r="BU40" i="1"/>
  <c r="CF40" i="1"/>
  <c r="CE40" i="1" s="1"/>
  <c r="BT40" i="1"/>
  <c r="BS40" i="1"/>
  <c r="BQ40" i="1" s="1"/>
  <c r="BR40" i="1" s="1"/>
  <c r="CD40" i="1"/>
  <c r="CC40" i="1"/>
  <c r="CB40" i="1"/>
  <c r="CA40" i="1"/>
  <c r="BW41" i="1"/>
  <c r="CH41" i="1"/>
  <c r="BV41" i="1"/>
  <c r="BU41" i="1"/>
  <c r="CF41" i="1"/>
  <c r="CE41" i="1" s="1"/>
  <c r="BT41" i="1"/>
  <c r="BS41" i="1"/>
  <c r="BQ41" i="1" s="1"/>
  <c r="BR41" i="1" s="1"/>
  <c r="CD41" i="1"/>
  <c r="CC41" i="1"/>
  <c r="CB41" i="1"/>
  <c r="CA41" i="1"/>
  <c r="BZ41" i="1"/>
  <c r="BY41" i="1"/>
  <c r="BX41" i="1"/>
  <c r="BZ42" i="1"/>
  <c r="BY42" i="1"/>
  <c r="BX42" i="1"/>
  <c r="BW42" i="1"/>
  <c r="CH42" i="1"/>
  <c r="BV42" i="1"/>
  <c r="BU42" i="1"/>
  <c r="CF42" i="1"/>
  <c r="CE42" i="1" s="1"/>
  <c r="BT42" i="1"/>
  <c r="BS42" i="1"/>
  <c r="BQ42" i="1" s="1"/>
  <c r="BR42" i="1" s="1"/>
  <c r="CD42" i="1"/>
  <c r="CC42" i="1"/>
  <c r="CB42" i="1"/>
  <c r="CA42" i="1"/>
  <c r="BW44" i="1"/>
  <c r="CH44" i="1"/>
  <c r="BV44" i="1"/>
  <c r="BU44" i="1"/>
  <c r="CF44" i="1"/>
  <c r="CE44" i="1" s="1"/>
  <c r="BT44" i="1"/>
  <c r="BS44" i="1"/>
  <c r="BQ44" i="1" s="1"/>
  <c r="BR44" i="1" s="1"/>
  <c r="CD44" i="1"/>
  <c r="CC44" i="1"/>
  <c r="CB44" i="1"/>
  <c r="CA44" i="1"/>
  <c r="BZ44" i="1"/>
  <c r="BY44" i="1"/>
  <c r="BX44" i="1"/>
  <c r="BW48" i="1"/>
  <c r="CH48" i="1"/>
  <c r="BV48" i="1"/>
  <c r="BU48" i="1"/>
  <c r="CF48" i="1"/>
  <c r="CE48" i="1" s="1"/>
  <c r="BT48" i="1"/>
  <c r="BS48" i="1"/>
  <c r="BO48" i="1" s="1"/>
  <c r="CD48" i="1"/>
  <c r="CC48" i="1"/>
  <c r="CB48" i="1"/>
  <c r="CA48" i="1"/>
  <c r="BZ48" i="1"/>
  <c r="BY48" i="1"/>
  <c r="BX48" i="1"/>
  <c r="CC46" i="1"/>
  <c r="CB46" i="1"/>
  <c r="CA46" i="1"/>
  <c r="BZ46" i="1"/>
  <c r="BY46" i="1"/>
  <c r="BX46" i="1"/>
  <c r="BW46" i="1"/>
  <c r="CH46" i="1"/>
  <c r="BV46" i="1"/>
  <c r="BU46" i="1"/>
  <c r="CF46" i="1"/>
  <c r="CE46" i="1" s="1"/>
  <c r="BT46" i="1"/>
  <c r="BS46" i="1"/>
  <c r="BO46" i="1" s="1"/>
  <c r="CD46" i="1"/>
  <c r="BW52" i="1"/>
  <c r="CH52" i="1"/>
  <c r="BV52" i="1"/>
  <c r="BU52" i="1"/>
  <c r="CF52" i="1"/>
  <c r="CE52" i="1" s="1"/>
  <c r="BT52" i="1"/>
  <c r="BS52" i="1"/>
  <c r="BO52" i="1" s="1"/>
  <c r="CD52" i="1"/>
  <c r="CC52" i="1"/>
  <c r="CB52" i="1"/>
  <c r="CA52" i="1"/>
  <c r="BZ52" i="1"/>
  <c r="BY52" i="1"/>
  <c r="BX52" i="1"/>
  <c r="CC50" i="1"/>
  <c r="CB50" i="1"/>
  <c r="CA50" i="1"/>
  <c r="BZ50" i="1"/>
  <c r="BY50" i="1"/>
  <c r="BX50" i="1"/>
  <c r="BW50" i="1"/>
  <c r="CH50" i="1"/>
  <c r="BV50" i="1"/>
  <c r="BU50" i="1"/>
  <c r="CF50" i="1"/>
  <c r="CE50" i="1" s="1"/>
  <c r="BT50" i="1"/>
  <c r="BS50" i="1"/>
  <c r="BO50" i="1" s="1"/>
  <c r="CD50" i="1"/>
  <c r="CF43" i="1"/>
  <c r="CE43" i="1" s="1"/>
  <c r="BT43" i="1"/>
  <c r="BS43" i="1"/>
  <c r="BO43" i="1" s="1"/>
  <c r="CD43" i="1"/>
  <c r="CC43" i="1"/>
  <c r="CB43" i="1"/>
  <c r="CA43" i="1"/>
  <c r="BZ43" i="1"/>
  <c r="BY43" i="1"/>
  <c r="BX43" i="1"/>
  <c r="BW43" i="1"/>
  <c r="CH43" i="1"/>
  <c r="BV43" i="1"/>
  <c r="BU43" i="1"/>
  <c r="BZ45" i="1"/>
  <c r="BY45" i="1"/>
  <c r="BX45" i="1"/>
  <c r="BW45" i="1"/>
  <c r="CH45" i="1"/>
  <c r="BV45" i="1"/>
  <c r="BU45" i="1"/>
  <c r="CF45" i="1"/>
  <c r="CE45" i="1" s="1"/>
  <c r="BT45" i="1"/>
  <c r="BS45" i="1"/>
  <c r="BO45" i="1" s="1"/>
  <c r="CD45" i="1"/>
  <c r="CC45" i="1"/>
  <c r="CB45" i="1"/>
  <c r="CA45" i="1"/>
  <c r="CF47" i="1"/>
  <c r="CE47" i="1" s="1"/>
  <c r="BT47" i="1"/>
  <c r="BS47" i="1"/>
  <c r="BO47" i="1" s="1"/>
  <c r="CD47" i="1"/>
  <c r="CC47" i="1"/>
  <c r="CB47" i="1"/>
  <c r="CA47" i="1"/>
  <c r="BZ47" i="1"/>
  <c r="BY47" i="1"/>
  <c r="BX47" i="1"/>
  <c r="BW47" i="1"/>
  <c r="CH47" i="1"/>
  <c r="BV47" i="1"/>
  <c r="BU47" i="1"/>
  <c r="BZ49" i="1"/>
  <c r="BY49" i="1"/>
  <c r="BX49" i="1"/>
  <c r="BW49" i="1"/>
  <c r="CH49" i="1"/>
  <c r="BV49" i="1"/>
  <c r="BU49" i="1"/>
  <c r="CF49" i="1"/>
  <c r="CE49" i="1" s="1"/>
  <c r="BT49" i="1"/>
  <c r="BS49" i="1"/>
  <c r="BO49" i="1" s="1"/>
  <c r="CD49" i="1"/>
  <c r="CC49" i="1"/>
  <c r="CB49" i="1"/>
  <c r="CA49" i="1"/>
  <c r="CF51" i="1"/>
  <c r="CE51" i="1" s="1"/>
  <c r="BT51" i="1"/>
  <c r="BS51" i="1"/>
  <c r="BO51" i="1" s="1"/>
  <c r="CD51" i="1"/>
  <c r="CC51" i="1"/>
  <c r="CB51" i="1"/>
  <c r="CA51" i="1"/>
  <c r="BZ51" i="1"/>
  <c r="BY51" i="1"/>
  <c r="BX51" i="1"/>
  <c r="BW51" i="1"/>
  <c r="CH51" i="1"/>
  <c r="BV51" i="1"/>
  <c r="BU51" i="1"/>
  <c r="BZ53" i="1"/>
  <c r="BY53" i="1"/>
  <c r="BX53" i="1"/>
  <c r="BW53" i="1"/>
  <c r="CH53" i="1"/>
  <c r="BV53" i="1"/>
  <c r="BU53" i="1"/>
  <c r="CF53" i="1"/>
  <c r="CE53" i="1" s="1"/>
  <c r="BT53" i="1"/>
  <c r="BS53" i="1"/>
  <c r="BO53" i="1" s="1"/>
  <c r="CD53" i="1"/>
  <c r="CC53" i="1"/>
  <c r="CB53" i="1"/>
  <c r="CA53" i="1"/>
  <c r="BT87" i="1"/>
  <c r="BW87" i="1"/>
  <c r="BZ87" i="1"/>
  <c r="BS87" i="1"/>
  <c r="BO87" i="1" s="1"/>
  <c r="BX87" i="1"/>
  <c r="CA87" i="1"/>
  <c r="CD87" i="1"/>
  <c r="BV87" i="1"/>
  <c r="BY87" i="1"/>
  <c r="CC87" i="1"/>
  <c r="CF87" i="1"/>
  <c r="CE87" i="1" s="1"/>
  <c r="CH87" i="1"/>
  <c r="BU87" i="1"/>
  <c r="CB87" i="1"/>
  <c r="BS82" i="1"/>
  <c r="BQ82" i="1" s="1"/>
  <c r="BR82" i="1" s="1"/>
  <c r="BT82" i="1"/>
  <c r="BV82" i="1"/>
  <c r="BW82" i="1"/>
  <c r="BX82" i="1"/>
  <c r="BY82" i="1"/>
  <c r="BZ82" i="1"/>
  <c r="CA82" i="1"/>
  <c r="CB82" i="1"/>
  <c r="CC82" i="1"/>
  <c r="CD82" i="1"/>
  <c r="CH82" i="1"/>
  <c r="BU82" i="1"/>
  <c r="CF82" i="1"/>
  <c r="CE82" i="1" s="1"/>
  <c r="BS73" i="1"/>
  <c r="BO73" i="1" s="1"/>
  <c r="BT73" i="1"/>
  <c r="BW73" i="1"/>
  <c r="BX73" i="1"/>
  <c r="BZ73" i="1"/>
  <c r="CC73" i="1"/>
  <c r="BU73" i="1"/>
  <c r="CF73" i="1"/>
  <c r="CE73" i="1" s="1"/>
  <c r="CH73" i="1"/>
  <c r="BV73" i="1"/>
  <c r="BY73" i="1"/>
  <c r="CA73" i="1"/>
  <c r="CB73" i="1"/>
  <c r="CD73" i="1"/>
  <c r="BV56" i="1"/>
  <c r="BZ56" i="1"/>
  <c r="CF56" i="1"/>
  <c r="CE56" i="1" s="1"/>
  <c r="BY56" i="1"/>
  <c r="CC56" i="1"/>
  <c r="BS56" i="1"/>
  <c r="BQ56" i="1" s="1"/>
  <c r="BR56" i="1" s="1"/>
  <c r="BW56" i="1"/>
  <c r="CH56" i="1"/>
  <c r="CB56" i="1"/>
  <c r="BU56" i="1"/>
  <c r="BX56" i="1"/>
  <c r="CD56" i="1"/>
  <c r="BT56" i="1"/>
  <c r="CA56" i="1"/>
  <c r="BV55" i="1"/>
  <c r="CF55" i="1"/>
  <c r="CE55" i="1" s="1"/>
  <c r="BZ55" i="1"/>
  <c r="CC55" i="1"/>
  <c r="BU55" i="1"/>
  <c r="BY55" i="1"/>
  <c r="CH55" i="1"/>
  <c r="BX55" i="1"/>
  <c r="CA55" i="1"/>
  <c r="BT55" i="1"/>
  <c r="BS55" i="1"/>
  <c r="BQ55" i="1" s="1"/>
  <c r="BR55" i="1" s="1"/>
  <c r="BW55" i="1"/>
  <c r="CB55" i="1"/>
  <c r="CD55" i="1"/>
  <c r="BS78" i="1"/>
  <c r="BZ78" i="1"/>
  <c r="CH78" i="1"/>
  <c r="BU78" i="1"/>
  <c r="BY78" i="1"/>
  <c r="CD78" i="1"/>
  <c r="CF78" i="1"/>
  <c r="CE78" i="1" s="1"/>
  <c r="BX78" i="1"/>
  <c r="CC78" i="1"/>
  <c r="BT78" i="1"/>
  <c r="CB78" i="1"/>
  <c r="BV78" i="1"/>
  <c r="BW78" i="1"/>
  <c r="CA78" i="1"/>
  <c r="CF76" i="1"/>
  <c r="CE76" i="1" s="1"/>
  <c r="BX76" i="1"/>
  <c r="BZ76" i="1"/>
  <c r="BS76" i="1"/>
  <c r="BU76" i="1"/>
  <c r="BW76" i="1"/>
  <c r="CB76" i="1"/>
  <c r="CD76" i="1"/>
  <c r="CH76" i="1"/>
  <c r="CC76" i="1"/>
  <c r="BT76" i="1"/>
  <c r="BV76" i="1"/>
  <c r="BY76" i="1"/>
  <c r="CA76" i="1"/>
  <c r="BZ81" i="1"/>
  <c r="CB81" i="1"/>
  <c r="BS81" i="1"/>
  <c r="CC81" i="1"/>
  <c r="CA81" i="1"/>
  <c r="BT81" i="1"/>
  <c r="BV81" i="1"/>
  <c r="BX81" i="1"/>
  <c r="CD81" i="1"/>
  <c r="CH81" i="1"/>
  <c r="CF81" i="1"/>
  <c r="CE81" i="1" s="1"/>
  <c r="BU81" i="1"/>
  <c r="BW81" i="1"/>
  <c r="BY81" i="1"/>
  <c r="BX70" i="1"/>
  <c r="BT70" i="1"/>
  <c r="BZ70" i="1"/>
  <c r="CD70" i="1"/>
  <c r="BV70" i="1"/>
  <c r="CA70" i="1"/>
  <c r="BW70" i="1"/>
  <c r="BS70" i="1"/>
  <c r="CF70" i="1"/>
  <c r="CE70" i="1" s="1"/>
  <c r="CH70" i="1"/>
  <c r="BU70" i="1"/>
  <c r="BY70" i="1"/>
  <c r="CB70" i="1"/>
  <c r="CC70" i="1"/>
  <c r="CF88" i="1"/>
  <c r="CE88" i="1" s="1"/>
  <c r="CH88" i="1"/>
  <c r="BT88" i="1"/>
  <c r="BU88" i="1"/>
  <c r="BV88" i="1"/>
  <c r="BW88" i="1"/>
  <c r="BX88" i="1"/>
  <c r="BY88" i="1"/>
  <c r="BZ88" i="1"/>
  <c r="CA88" i="1"/>
  <c r="CB88" i="1"/>
  <c r="CD88" i="1"/>
  <c r="BS88" i="1"/>
  <c r="CC88" i="1"/>
  <c r="CA84" i="1"/>
  <c r="CH84" i="1"/>
  <c r="BT84" i="1"/>
  <c r="BV84" i="1"/>
  <c r="BZ84" i="1"/>
  <c r="CD84" i="1"/>
  <c r="CF84" i="1"/>
  <c r="CE84" i="1" s="1"/>
  <c r="BX84" i="1"/>
  <c r="BS84" i="1"/>
  <c r="BU84" i="1"/>
  <c r="BW84" i="1"/>
  <c r="BY84" i="1"/>
  <c r="CB84" i="1"/>
  <c r="CC84" i="1"/>
  <c r="BW75" i="1"/>
  <c r="CA75" i="1"/>
  <c r="BY75" i="1"/>
  <c r="CB75" i="1"/>
  <c r="CH75" i="1"/>
  <c r="BT75" i="1"/>
  <c r="CF75" i="1"/>
  <c r="CE75" i="1" s="1"/>
  <c r="BS75" i="1"/>
  <c r="BU75" i="1"/>
  <c r="BV75" i="1"/>
  <c r="BX75" i="1"/>
  <c r="BZ75" i="1"/>
  <c r="CC75" i="1"/>
  <c r="CD75" i="1"/>
  <c r="BT67" i="1"/>
  <c r="BU67" i="1"/>
  <c r="CF67" i="1"/>
  <c r="CE67" i="1" s="1"/>
  <c r="BV67" i="1"/>
  <c r="BX67" i="1"/>
  <c r="CB67" i="1"/>
  <c r="CD67" i="1"/>
  <c r="BZ67" i="1"/>
  <c r="BS67" i="1"/>
  <c r="BW67" i="1"/>
  <c r="CC67" i="1"/>
  <c r="CH67" i="1"/>
  <c r="BY67" i="1"/>
  <c r="CA67" i="1"/>
  <c r="BV63" i="1"/>
  <c r="CB63" i="1"/>
  <c r="CA63" i="1"/>
  <c r="CD63" i="1"/>
  <c r="CH63" i="1"/>
  <c r="BT63" i="1"/>
  <c r="BU63" i="1"/>
  <c r="BY63" i="1"/>
  <c r="CF63" i="1"/>
  <c r="CE63" i="1" s="1"/>
  <c r="BS63" i="1"/>
  <c r="BX63" i="1"/>
  <c r="BZ63" i="1"/>
  <c r="BW63" i="1"/>
  <c r="CC63" i="1"/>
  <c r="CF62" i="1"/>
  <c r="CE62" i="1" s="1"/>
  <c r="BX62" i="1"/>
  <c r="CC62" i="1"/>
  <c r="CH62" i="1"/>
  <c r="BW62" i="1"/>
  <c r="CB62" i="1"/>
  <c r="BV62" i="1"/>
  <c r="BZ62" i="1"/>
  <c r="BS62" i="1"/>
  <c r="BO62" i="1" s="1"/>
  <c r="BU62" i="1"/>
  <c r="BY62" i="1"/>
  <c r="CD62" i="1"/>
  <c r="BT62" i="1"/>
  <c r="CA62" i="1"/>
  <c r="BV60" i="1"/>
  <c r="CB60" i="1"/>
  <c r="BT60" i="1"/>
  <c r="BX60" i="1"/>
  <c r="CF60" i="1"/>
  <c r="CE60" i="1" s="1"/>
  <c r="BU60" i="1"/>
  <c r="BY60" i="1"/>
  <c r="CD60" i="1"/>
  <c r="CH60" i="1"/>
  <c r="BW60" i="1"/>
  <c r="BZ60" i="1"/>
  <c r="BS60" i="1"/>
  <c r="CA60" i="1"/>
  <c r="CC60" i="1"/>
  <c r="BT86" i="1"/>
  <c r="BV86" i="1"/>
  <c r="BW86" i="1"/>
  <c r="BY86" i="1"/>
  <c r="CA86" i="1"/>
  <c r="CD86" i="1"/>
  <c r="CF86" i="1"/>
  <c r="CE86" i="1" s="1"/>
  <c r="CH86" i="1"/>
  <c r="BS86" i="1"/>
  <c r="BU86" i="1"/>
  <c r="BX86" i="1"/>
  <c r="BZ86" i="1"/>
  <c r="CB86" i="1"/>
  <c r="CC86" i="1"/>
  <c r="BV85" i="1"/>
  <c r="CF85" i="1"/>
  <c r="CE85" i="1" s="1"/>
  <c r="BS85" i="1"/>
  <c r="BU85" i="1"/>
  <c r="BX85" i="1"/>
  <c r="BZ85" i="1"/>
  <c r="CB85" i="1"/>
  <c r="CD85" i="1"/>
  <c r="BT85" i="1"/>
  <c r="BW85" i="1"/>
  <c r="BY85" i="1"/>
  <c r="CA85" i="1"/>
  <c r="CC85" i="1"/>
  <c r="CH85" i="1"/>
  <c r="CF83" i="1"/>
  <c r="CE83" i="1" s="1"/>
  <c r="BU83" i="1"/>
  <c r="BV83" i="1"/>
  <c r="BX83" i="1"/>
  <c r="CA83" i="1"/>
  <c r="CC83" i="1"/>
  <c r="CD83" i="1"/>
  <c r="BT83" i="1"/>
  <c r="BW83" i="1"/>
  <c r="BY83" i="1"/>
  <c r="CB83" i="1"/>
  <c r="CH83" i="1"/>
  <c r="BS83" i="1"/>
  <c r="BZ83" i="1"/>
  <c r="BV79" i="1"/>
  <c r="BT79" i="1"/>
  <c r="BX79" i="1"/>
  <c r="CH79" i="1"/>
  <c r="CF79" i="1"/>
  <c r="CE79" i="1" s="1"/>
  <c r="BU79" i="1"/>
  <c r="BY79" i="1"/>
  <c r="CA79" i="1"/>
  <c r="CB79" i="1"/>
  <c r="CD79" i="1"/>
  <c r="BW79" i="1"/>
  <c r="BZ79" i="1"/>
  <c r="CC79" i="1"/>
  <c r="BS79" i="1"/>
  <c r="BS65" i="1"/>
  <c r="BZ65" i="1"/>
  <c r="CB65" i="1"/>
  <c r="CH65" i="1"/>
  <c r="BU65" i="1"/>
  <c r="CF65" i="1"/>
  <c r="CE65" i="1" s="1"/>
  <c r="BT65" i="1"/>
  <c r="BW65" i="1"/>
  <c r="BY65" i="1"/>
  <c r="CA65" i="1"/>
  <c r="CD65" i="1"/>
  <c r="BV65" i="1"/>
  <c r="BX65" i="1"/>
  <c r="CC65" i="1"/>
  <c r="BT61" i="1"/>
  <c r="BX61" i="1"/>
  <c r="CB61" i="1"/>
  <c r="CH61" i="1"/>
  <c r="BZ61" i="1"/>
  <c r="CC61" i="1"/>
  <c r="BS61" i="1"/>
  <c r="BW61" i="1"/>
  <c r="CF61" i="1"/>
  <c r="CE61" i="1" s="1"/>
  <c r="BU61" i="1"/>
  <c r="BV61" i="1"/>
  <c r="BY61" i="1"/>
  <c r="CA61" i="1"/>
  <c r="CD61" i="1"/>
  <c r="BV59" i="1"/>
  <c r="CF59" i="1"/>
  <c r="CE59" i="1" s="1"/>
  <c r="CH59" i="1"/>
  <c r="BX59" i="1"/>
  <c r="BS59" i="1"/>
  <c r="BU59" i="1"/>
  <c r="BZ59" i="1"/>
  <c r="CB59" i="1"/>
  <c r="CC59" i="1"/>
  <c r="BT59" i="1"/>
  <c r="BW59" i="1"/>
  <c r="BY59" i="1"/>
  <c r="CA59" i="1"/>
  <c r="CD59" i="1"/>
  <c r="BT57" i="1"/>
  <c r="CA57" i="1"/>
  <c r="BS57" i="1"/>
  <c r="BX57" i="1"/>
  <c r="BZ57" i="1"/>
  <c r="CD57" i="1"/>
  <c r="CH57" i="1"/>
  <c r="BV57" i="1"/>
  <c r="CC57" i="1"/>
  <c r="CF57" i="1"/>
  <c r="CE57" i="1" s="1"/>
  <c r="BU57" i="1"/>
  <c r="BY57" i="1"/>
  <c r="CB57" i="1"/>
  <c r="BW57" i="1"/>
  <c r="BT54" i="1"/>
  <c r="CF54" i="1"/>
  <c r="CE54" i="1" s="1"/>
  <c r="CB54" i="1"/>
  <c r="BS54" i="1"/>
  <c r="BU54" i="1"/>
  <c r="BX54" i="1"/>
  <c r="CA54" i="1"/>
  <c r="CD54" i="1"/>
  <c r="BV54" i="1"/>
  <c r="BW54" i="1"/>
  <c r="BY54" i="1"/>
  <c r="BZ54" i="1"/>
  <c r="CC54" i="1"/>
  <c r="CH54" i="1"/>
  <c r="BU68" i="1"/>
  <c r="CA68" i="1"/>
  <c r="CC68" i="1"/>
  <c r="CH68" i="1"/>
  <c r="BW68" i="1"/>
  <c r="CD68" i="1"/>
  <c r="CF68" i="1"/>
  <c r="CE68" i="1" s="1"/>
  <c r="BT68" i="1"/>
  <c r="BV68" i="1"/>
  <c r="BX68" i="1"/>
  <c r="BS68" i="1"/>
  <c r="BY68" i="1"/>
  <c r="BZ68" i="1"/>
  <c r="CB68" i="1"/>
  <c r="BS80" i="1"/>
  <c r="BV80" i="1"/>
  <c r="CF80" i="1"/>
  <c r="CE80" i="1" s="1"/>
  <c r="BU80" i="1"/>
  <c r="CB80" i="1"/>
  <c r="CD80" i="1"/>
  <c r="CH80" i="1"/>
  <c r="BT80" i="1"/>
  <c r="CC80" i="1"/>
  <c r="BZ80" i="1"/>
  <c r="BW80" i="1"/>
  <c r="BY80" i="1"/>
  <c r="BX80" i="1"/>
  <c r="CA80" i="1"/>
  <c r="CA72" i="1"/>
  <c r="CD72" i="1"/>
  <c r="BV72" i="1"/>
  <c r="BS72" i="1"/>
  <c r="CF72" i="1"/>
  <c r="CE72" i="1" s="1"/>
  <c r="BT72" i="1"/>
  <c r="CB72" i="1"/>
  <c r="CC72" i="1"/>
  <c r="CH72" i="1"/>
  <c r="BW72" i="1"/>
  <c r="BY72" i="1"/>
  <c r="BU72" i="1"/>
  <c r="BX72" i="1"/>
  <c r="BZ72" i="1"/>
  <c r="BT77" i="1"/>
  <c r="BY77" i="1"/>
  <c r="CD77" i="1"/>
  <c r="BU77" i="1"/>
  <c r="BX77" i="1"/>
  <c r="BZ77" i="1"/>
  <c r="CC77" i="1"/>
  <c r="BS77" i="1"/>
  <c r="BO77" i="1" s="1"/>
  <c r="CF77" i="1"/>
  <c r="CE77" i="1" s="1"/>
  <c r="CH77" i="1"/>
  <c r="BW77" i="1"/>
  <c r="CA77" i="1"/>
  <c r="BV77" i="1"/>
  <c r="CB77" i="1"/>
  <c r="BS74" i="1"/>
  <c r="BQ74" i="1" s="1"/>
  <c r="BR74" i="1" s="1"/>
  <c r="CF74" i="1"/>
  <c r="CE74" i="1" s="1"/>
  <c r="CH74" i="1"/>
  <c r="BU74" i="1"/>
  <c r="BW74" i="1"/>
  <c r="BY74" i="1"/>
  <c r="CA74" i="1"/>
  <c r="CC74" i="1"/>
  <c r="BT74" i="1"/>
  <c r="BV74" i="1"/>
  <c r="BX74" i="1"/>
  <c r="BZ74" i="1"/>
  <c r="CB74" i="1"/>
  <c r="CD74" i="1"/>
  <c r="BS71" i="1"/>
  <c r="BO71" i="1" s="1"/>
  <c r="BV71" i="1"/>
  <c r="BY71" i="1"/>
  <c r="CB71" i="1"/>
  <c r="BX71" i="1"/>
  <c r="CA71" i="1"/>
  <c r="CD71" i="1"/>
  <c r="BW71" i="1"/>
  <c r="CF71" i="1"/>
  <c r="CE71" i="1" s="1"/>
  <c r="CH71" i="1"/>
  <c r="BT71" i="1"/>
  <c r="BU71" i="1"/>
  <c r="BZ71" i="1"/>
  <c r="CC71" i="1"/>
  <c r="CF69" i="1"/>
  <c r="CE69" i="1" s="1"/>
  <c r="CH69" i="1"/>
  <c r="BT69" i="1"/>
  <c r="BW69" i="1"/>
  <c r="BZ69" i="1"/>
  <c r="CB69" i="1"/>
  <c r="BS69" i="1"/>
  <c r="BV69" i="1"/>
  <c r="CA69" i="1"/>
  <c r="CC69" i="1"/>
  <c r="CD69" i="1"/>
  <c r="BU69" i="1"/>
  <c r="BX69" i="1"/>
  <c r="BY69" i="1"/>
  <c r="BT66" i="1"/>
  <c r="BV66" i="1"/>
  <c r="CF66" i="1"/>
  <c r="CE66" i="1" s="1"/>
  <c r="CH66" i="1"/>
  <c r="BW66" i="1"/>
  <c r="BY66" i="1"/>
  <c r="CA66" i="1"/>
  <c r="CC66" i="1"/>
  <c r="BU66" i="1"/>
  <c r="CD66" i="1"/>
  <c r="BS66" i="1"/>
  <c r="BX66" i="1"/>
  <c r="BZ66" i="1"/>
  <c r="CB66" i="1"/>
  <c r="BS64" i="1"/>
  <c r="BW64" i="1"/>
  <c r="CB64" i="1"/>
  <c r="BU64" i="1"/>
  <c r="CD64" i="1"/>
  <c r="CF64" i="1"/>
  <c r="CE64" i="1" s="1"/>
  <c r="BY64" i="1"/>
  <c r="BT64" i="1"/>
  <c r="BZ64" i="1"/>
  <c r="CC64" i="1"/>
  <c r="CH64" i="1"/>
  <c r="BV64" i="1"/>
  <c r="BX64" i="1"/>
  <c r="CA64" i="1"/>
  <c r="BU58" i="1"/>
  <c r="BZ58" i="1"/>
  <c r="CF58" i="1"/>
  <c r="CE58" i="1" s="1"/>
  <c r="BS58" i="1"/>
  <c r="CB58" i="1"/>
  <c r="CA58" i="1"/>
  <c r="BX58" i="1"/>
  <c r="CC58" i="1"/>
  <c r="CH58" i="1"/>
  <c r="BT58" i="1"/>
  <c r="BV58" i="1"/>
  <c r="BW58" i="1"/>
  <c r="BY58" i="1"/>
  <c r="CD58" i="1"/>
  <c r="BU148" i="1"/>
  <c r="BW148" i="1"/>
  <c r="BX148" i="1"/>
  <c r="BZ148" i="1"/>
  <c r="CA148" i="1"/>
  <c r="CB148" i="1"/>
  <c r="CC148" i="1"/>
  <c r="CD148" i="1"/>
  <c r="CH148" i="1"/>
  <c r="CF148" i="1"/>
  <c r="CE148" i="1" s="1"/>
  <c r="BS148" i="1"/>
  <c r="BO148" i="1" s="1"/>
  <c r="BT148" i="1"/>
  <c r="BV148" i="1"/>
  <c r="BY148" i="1"/>
  <c r="BS145" i="1"/>
  <c r="BV145" i="1"/>
  <c r="BX145" i="1"/>
  <c r="BZ145" i="1"/>
  <c r="CB145" i="1"/>
  <c r="CH145" i="1"/>
  <c r="CF145" i="1"/>
  <c r="CE145" i="1" s="1"/>
  <c r="BT145" i="1"/>
  <c r="BU145" i="1"/>
  <c r="BW145" i="1"/>
  <c r="BY145" i="1"/>
  <c r="CA145" i="1"/>
  <c r="CC145" i="1"/>
  <c r="CD145" i="1"/>
  <c r="BU140" i="1"/>
  <c r="BY140" i="1"/>
  <c r="CF140" i="1"/>
  <c r="CE140" i="1" s="1"/>
  <c r="BS140" i="1"/>
  <c r="BO140" i="1" s="1"/>
  <c r="BV140" i="1"/>
  <c r="BZ140" i="1"/>
  <c r="BT140" i="1"/>
  <c r="BW140" i="1"/>
  <c r="BX140" i="1"/>
  <c r="CA140" i="1"/>
  <c r="CB140" i="1"/>
  <c r="CC140" i="1"/>
  <c r="CD140" i="1"/>
  <c r="CH140" i="1"/>
  <c r="BV138" i="1"/>
  <c r="BX138" i="1"/>
  <c r="BZ138" i="1"/>
  <c r="CC138" i="1"/>
  <c r="BU138" i="1"/>
  <c r="BW138" i="1"/>
  <c r="CA138" i="1"/>
  <c r="CB138" i="1"/>
  <c r="CD138" i="1"/>
  <c r="CH138" i="1"/>
  <c r="BT138" i="1"/>
  <c r="BY138" i="1"/>
  <c r="BS138" i="1"/>
  <c r="BO138" i="1" s="1"/>
  <c r="CF138" i="1"/>
  <c r="CE138" i="1" s="1"/>
  <c r="BV129" i="1"/>
  <c r="BX129" i="1"/>
  <c r="CC129" i="1"/>
  <c r="CF129" i="1"/>
  <c r="CE129" i="1" s="1"/>
  <c r="BT129" i="1"/>
  <c r="BZ129" i="1"/>
  <c r="CB129" i="1"/>
  <c r="CD129" i="1"/>
  <c r="CH129" i="1"/>
  <c r="BS129" i="1"/>
  <c r="BQ129" i="1" s="1"/>
  <c r="BR129" i="1" s="1"/>
  <c r="BU129" i="1"/>
  <c r="BW129" i="1"/>
  <c r="BY129" i="1"/>
  <c r="CA129" i="1"/>
  <c r="BS125" i="1"/>
  <c r="BQ125" i="1" s="1"/>
  <c r="BR125" i="1" s="1"/>
  <c r="BW125" i="1"/>
  <c r="BY125" i="1"/>
  <c r="BU125" i="1"/>
  <c r="BT125" i="1"/>
  <c r="BV125" i="1"/>
  <c r="CF125" i="1"/>
  <c r="CE125" i="1" s="1"/>
  <c r="CH125" i="1"/>
  <c r="BX125" i="1"/>
  <c r="BZ125" i="1"/>
  <c r="CA125" i="1"/>
  <c r="CB125" i="1"/>
  <c r="CC125" i="1"/>
  <c r="CD125" i="1"/>
  <c r="BT107" i="1"/>
  <c r="BW107" i="1"/>
  <c r="BZ107" i="1"/>
  <c r="CC107" i="1"/>
  <c r="CF107" i="1"/>
  <c r="CE107" i="1" s="1"/>
  <c r="BS107" i="1"/>
  <c r="BQ107" i="1" s="1"/>
  <c r="BR107" i="1" s="1"/>
  <c r="BV107" i="1"/>
  <c r="BY107" i="1"/>
  <c r="CB107" i="1"/>
  <c r="CD107" i="1"/>
  <c r="CH107" i="1"/>
  <c r="BU107" i="1"/>
  <c r="BX107" i="1"/>
  <c r="CA107" i="1"/>
  <c r="BU95" i="1"/>
  <c r="BW95" i="1"/>
  <c r="CF95" i="1"/>
  <c r="CE95" i="1" s="1"/>
  <c r="BV95" i="1"/>
  <c r="BY95" i="1"/>
  <c r="CH95" i="1"/>
  <c r="CA95" i="1"/>
  <c r="CD95" i="1"/>
  <c r="BT95" i="1"/>
  <c r="BZ95" i="1"/>
  <c r="CC95" i="1"/>
  <c r="BS95" i="1"/>
  <c r="BX95" i="1"/>
  <c r="CB95" i="1"/>
  <c r="BS119" i="1"/>
  <c r="BT119" i="1"/>
  <c r="BU119" i="1"/>
  <c r="BV119" i="1"/>
  <c r="BW119" i="1"/>
  <c r="BX119" i="1"/>
  <c r="BY119" i="1"/>
  <c r="BZ119" i="1"/>
  <c r="CA119" i="1"/>
  <c r="CB119" i="1"/>
  <c r="CC119" i="1"/>
  <c r="CD119" i="1"/>
  <c r="CF119" i="1"/>
  <c r="CE119" i="1" s="1"/>
  <c r="CH119" i="1"/>
  <c r="BS118" i="1"/>
  <c r="BT118" i="1"/>
  <c r="BU118" i="1"/>
  <c r="BV118" i="1"/>
  <c r="BW118" i="1"/>
  <c r="BX118" i="1"/>
  <c r="BY118" i="1"/>
  <c r="BZ118" i="1"/>
  <c r="CA118" i="1"/>
  <c r="CB118" i="1"/>
  <c r="CC118" i="1"/>
  <c r="CD118" i="1"/>
  <c r="CF118" i="1"/>
  <c r="CE118" i="1" s="1"/>
  <c r="CH118" i="1"/>
  <c r="BS117" i="1"/>
  <c r="BT117" i="1"/>
  <c r="BU117" i="1"/>
  <c r="BV117" i="1"/>
  <c r="BW117" i="1"/>
  <c r="BX117" i="1"/>
  <c r="BY117" i="1"/>
  <c r="BZ117" i="1"/>
  <c r="CA117" i="1"/>
  <c r="CB117" i="1"/>
  <c r="CC117" i="1"/>
  <c r="CD117" i="1"/>
  <c r="CF117" i="1"/>
  <c r="CE117" i="1" s="1"/>
  <c r="CH117" i="1"/>
  <c r="BS116" i="1"/>
  <c r="BT116" i="1"/>
  <c r="BU116" i="1"/>
  <c r="BV116" i="1"/>
  <c r="BW116" i="1"/>
  <c r="BX116" i="1"/>
  <c r="BY116" i="1"/>
  <c r="BZ116" i="1"/>
  <c r="CA116" i="1"/>
  <c r="CB116" i="1"/>
  <c r="CC116" i="1"/>
  <c r="CD116" i="1"/>
  <c r="CF116" i="1"/>
  <c r="CE116" i="1" s="1"/>
  <c r="CH116" i="1"/>
  <c r="BS115" i="1"/>
  <c r="BT115" i="1"/>
  <c r="BU115" i="1"/>
  <c r="BV115" i="1"/>
  <c r="BW115" i="1"/>
  <c r="BX115" i="1"/>
  <c r="BY115" i="1"/>
  <c r="BZ115" i="1"/>
  <c r="CA115" i="1"/>
  <c r="CB115" i="1"/>
  <c r="CC115" i="1"/>
  <c r="CD115" i="1"/>
  <c r="CF115" i="1"/>
  <c r="CE115" i="1" s="1"/>
  <c r="CH115" i="1"/>
  <c r="BS114" i="1"/>
  <c r="BT114" i="1"/>
  <c r="BU114" i="1"/>
  <c r="BV114" i="1"/>
  <c r="BW114" i="1"/>
  <c r="BX114" i="1"/>
  <c r="BY114" i="1"/>
  <c r="BZ114" i="1"/>
  <c r="CA114" i="1"/>
  <c r="CB114" i="1"/>
  <c r="CC114" i="1"/>
  <c r="CD114" i="1"/>
  <c r="CF114" i="1"/>
  <c r="CE114" i="1" s="1"/>
  <c r="CH114" i="1"/>
  <c r="CB113" i="1"/>
  <c r="CD113" i="1"/>
  <c r="CH113" i="1"/>
  <c r="BU113" i="1"/>
  <c r="BV113" i="1"/>
  <c r="BY113" i="1"/>
  <c r="CA113" i="1"/>
  <c r="BT113" i="1"/>
  <c r="BW113" i="1"/>
  <c r="BZ113" i="1"/>
  <c r="BS113" i="1"/>
  <c r="BX113" i="1"/>
  <c r="CC113" i="1"/>
  <c r="CF113" i="1"/>
  <c r="CE113" i="1" s="1"/>
  <c r="BT111" i="1"/>
  <c r="CF111" i="1"/>
  <c r="CE111" i="1" s="1"/>
  <c r="CH111" i="1"/>
  <c r="BU111" i="1"/>
  <c r="BZ111" i="1"/>
  <c r="BV111" i="1"/>
  <c r="BY111" i="1"/>
  <c r="CB111" i="1"/>
  <c r="CC111" i="1"/>
  <c r="BW111" i="1"/>
  <c r="CD111" i="1"/>
  <c r="BS111" i="1"/>
  <c r="BQ111" i="1" s="1"/>
  <c r="BR111" i="1" s="1"/>
  <c r="BX111" i="1"/>
  <c r="CA111" i="1"/>
  <c r="BT109" i="1"/>
  <c r="BV109" i="1"/>
  <c r="BX109" i="1"/>
  <c r="BY109" i="1"/>
  <c r="CA109" i="1"/>
  <c r="CD109" i="1"/>
  <c r="BU109" i="1"/>
  <c r="BZ109" i="1"/>
  <c r="CC109" i="1"/>
  <c r="CH109" i="1"/>
  <c r="CF109" i="1"/>
  <c r="CE109" i="1" s="1"/>
  <c r="BW109" i="1"/>
  <c r="CB109" i="1"/>
  <c r="BS109" i="1"/>
  <c r="BO109" i="1" s="1"/>
  <c r="BT103" i="1"/>
  <c r="BZ103" i="1"/>
  <c r="CD103" i="1"/>
  <c r="BS103" i="1"/>
  <c r="BQ103" i="1" s="1"/>
  <c r="BR103" i="1" s="1"/>
  <c r="BW103" i="1"/>
  <c r="CA103" i="1"/>
  <c r="BU103" i="1"/>
  <c r="BX103" i="1"/>
  <c r="CH103" i="1"/>
  <c r="CC103" i="1"/>
  <c r="BY103" i="1"/>
  <c r="BV103" i="1"/>
  <c r="CF103" i="1"/>
  <c r="CE103" i="1" s="1"/>
  <c r="CB103" i="1"/>
  <c r="BU96" i="1"/>
  <c r="CF96" i="1"/>
  <c r="CE96" i="1" s="1"/>
  <c r="BT96" i="1"/>
  <c r="BX96" i="1"/>
  <c r="BY96" i="1"/>
  <c r="CD96" i="1"/>
  <c r="CH96" i="1"/>
  <c r="BZ96" i="1"/>
  <c r="CB96" i="1"/>
  <c r="BS96" i="1"/>
  <c r="BV96" i="1"/>
  <c r="CA96" i="1"/>
  <c r="CC96" i="1"/>
  <c r="BW96" i="1"/>
  <c r="BS90" i="1"/>
  <c r="BT90" i="1"/>
  <c r="BU90" i="1"/>
  <c r="BV90" i="1"/>
  <c r="BW90" i="1"/>
  <c r="BX90" i="1"/>
  <c r="BY90" i="1"/>
  <c r="BZ90" i="1"/>
  <c r="CA90" i="1"/>
  <c r="CB90" i="1"/>
  <c r="CC90" i="1"/>
  <c r="CD90" i="1"/>
  <c r="CF90" i="1"/>
  <c r="CE90" i="1" s="1"/>
  <c r="CH90" i="1"/>
  <c r="BS89" i="1"/>
  <c r="BT89" i="1"/>
  <c r="BU89" i="1"/>
  <c r="BV89" i="1"/>
  <c r="BW89" i="1"/>
  <c r="BX89" i="1"/>
  <c r="BY89" i="1"/>
  <c r="BZ89" i="1"/>
  <c r="CA89" i="1"/>
  <c r="CB89" i="1"/>
  <c r="CC89" i="1"/>
  <c r="CD89" i="1"/>
  <c r="CF89" i="1"/>
  <c r="CE89" i="1" s="1"/>
  <c r="CH89" i="1"/>
  <c r="BT104" i="1"/>
  <c r="CB104" i="1"/>
  <c r="BY104" i="1"/>
  <c r="BW104" i="1"/>
  <c r="CA104" i="1"/>
  <c r="BS104" i="1"/>
  <c r="BO104" i="1" s="1"/>
  <c r="CD104" i="1"/>
  <c r="CH104" i="1"/>
  <c r="BZ104" i="1"/>
  <c r="CC104" i="1"/>
  <c r="BU104" i="1"/>
  <c r="BV104" i="1"/>
  <c r="BX104" i="1"/>
  <c r="CF104" i="1"/>
  <c r="CE104" i="1" s="1"/>
  <c r="BT146" i="1"/>
  <c r="BW146" i="1"/>
  <c r="BY146" i="1"/>
  <c r="CA146" i="1"/>
  <c r="CH146" i="1"/>
  <c r="CF146" i="1"/>
  <c r="CE146" i="1" s="1"/>
  <c r="BS146" i="1"/>
  <c r="BU146" i="1"/>
  <c r="BV146" i="1"/>
  <c r="BX146" i="1"/>
  <c r="BZ146" i="1"/>
  <c r="CB146" i="1"/>
  <c r="CC146" i="1"/>
  <c r="CD146" i="1"/>
  <c r="BT134" i="1"/>
  <c r="BX134" i="1"/>
  <c r="CC134" i="1"/>
  <c r="CH134" i="1"/>
  <c r="BV134" i="1"/>
  <c r="BY134" i="1"/>
  <c r="CB134" i="1"/>
  <c r="BU134" i="1"/>
  <c r="CF134" i="1"/>
  <c r="CE134" i="1" s="1"/>
  <c r="BZ134" i="1"/>
  <c r="CD134" i="1"/>
  <c r="BS134" i="1"/>
  <c r="BQ134" i="1" s="1"/>
  <c r="BR134" i="1" s="1"/>
  <c r="BW134" i="1"/>
  <c r="CA134" i="1"/>
  <c r="BX130" i="1"/>
  <c r="BZ130" i="1"/>
  <c r="CB130" i="1"/>
  <c r="BS130" i="1"/>
  <c r="CF130" i="1"/>
  <c r="CE130" i="1" s="1"/>
  <c r="BT130" i="1"/>
  <c r="BV130" i="1"/>
  <c r="CH130" i="1"/>
  <c r="BU130" i="1"/>
  <c r="BW130" i="1"/>
  <c r="BY130" i="1"/>
  <c r="CA130" i="1"/>
  <c r="CC130" i="1"/>
  <c r="CD130" i="1"/>
  <c r="BS127" i="1"/>
  <c r="CF127" i="1"/>
  <c r="CE127" i="1" s="1"/>
  <c r="CH127" i="1"/>
  <c r="BU127" i="1"/>
  <c r="BX127" i="1"/>
  <c r="BT127" i="1"/>
  <c r="BV127" i="1"/>
  <c r="BY127" i="1"/>
  <c r="CA127" i="1"/>
  <c r="CC127" i="1"/>
  <c r="CD127" i="1"/>
  <c r="BW127" i="1"/>
  <c r="BZ127" i="1"/>
  <c r="CB127" i="1"/>
  <c r="BT124" i="1"/>
  <c r="BW124" i="1"/>
  <c r="CF124" i="1"/>
  <c r="CE124" i="1" s="1"/>
  <c r="CH124" i="1"/>
  <c r="BV124" i="1"/>
  <c r="CA124" i="1"/>
  <c r="BS124" i="1"/>
  <c r="BQ124" i="1" s="1"/>
  <c r="BR124" i="1" s="1"/>
  <c r="BY124" i="1"/>
  <c r="CC124" i="1"/>
  <c r="BX124" i="1"/>
  <c r="BU124" i="1"/>
  <c r="BZ124" i="1"/>
  <c r="CB124" i="1"/>
  <c r="CD124" i="1"/>
  <c r="BT123" i="1"/>
  <c r="BV123" i="1"/>
  <c r="CF123" i="1"/>
  <c r="CE123" i="1" s="1"/>
  <c r="BU123" i="1"/>
  <c r="BW123" i="1"/>
  <c r="BZ123" i="1"/>
  <c r="CA123" i="1"/>
  <c r="CC123" i="1"/>
  <c r="BY123" i="1"/>
  <c r="CB123" i="1"/>
  <c r="CH123" i="1"/>
  <c r="BS123" i="1"/>
  <c r="BX123" i="1"/>
  <c r="CD123" i="1"/>
  <c r="BT121" i="1"/>
  <c r="BV121" i="1"/>
  <c r="BX121" i="1"/>
  <c r="CA121" i="1"/>
  <c r="CD121" i="1"/>
  <c r="BU121" i="1"/>
  <c r="BY121" i="1"/>
  <c r="CB121" i="1"/>
  <c r="CH121" i="1"/>
  <c r="CF121" i="1"/>
  <c r="CE121" i="1" s="1"/>
  <c r="BS121" i="1"/>
  <c r="BW121" i="1"/>
  <c r="BZ121" i="1"/>
  <c r="CC121" i="1"/>
  <c r="BZ97" i="1"/>
  <c r="CB97" i="1"/>
  <c r="BT97" i="1"/>
  <c r="BV97" i="1"/>
  <c r="CA97" i="1"/>
  <c r="CD97" i="1"/>
  <c r="CH97" i="1"/>
  <c r="BW97" i="1"/>
  <c r="CC97" i="1"/>
  <c r="BS97" i="1"/>
  <c r="BU97" i="1"/>
  <c r="CF97" i="1"/>
  <c r="CE97" i="1" s="1"/>
  <c r="BX97" i="1"/>
  <c r="BY97" i="1"/>
  <c r="BT147" i="1"/>
  <c r="BV147" i="1"/>
  <c r="BX147" i="1"/>
  <c r="BY147" i="1"/>
  <c r="BZ147" i="1"/>
  <c r="CB147" i="1"/>
  <c r="CC147" i="1"/>
  <c r="CD147" i="1"/>
  <c r="BS147" i="1"/>
  <c r="BQ147" i="1" s="1"/>
  <c r="BR147" i="1" s="1"/>
  <c r="BU147" i="1"/>
  <c r="BW147" i="1"/>
  <c r="CA147" i="1"/>
  <c r="CF147" i="1"/>
  <c r="CE147" i="1" s="1"/>
  <c r="CH147" i="1"/>
  <c r="BU139" i="1"/>
  <c r="BZ139" i="1"/>
  <c r="CC139" i="1"/>
  <c r="CH139" i="1"/>
  <c r="BS139" i="1"/>
  <c r="BX139" i="1"/>
  <c r="CA139" i="1"/>
  <c r="CD139" i="1"/>
  <c r="BV139" i="1"/>
  <c r="BY139" i="1"/>
  <c r="CB139" i="1"/>
  <c r="CF139" i="1"/>
  <c r="CE139" i="1" s="1"/>
  <c r="BT139" i="1"/>
  <c r="BW139" i="1"/>
  <c r="BU137" i="1"/>
  <c r="BX137" i="1"/>
  <c r="CC137" i="1"/>
  <c r="CF137" i="1"/>
  <c r="CE137" i="1" s="1"/>
  <c r="BT137" i="1"/>
  <c r="BW137" i="1"/>
  <c r="BY137" i="1"/>
  <c r="CH137" i="1"/>
  <c r="CA137" i="1"/>
  <c r="CD137" i="1"/>
  <c r="BS137" i="1"/>
  <c r="BV137" i="1"/>
  <c r="BZ137" i="1"/>
  <c r="CB137" i="1"/>
  <c r="BT135" i="1"/>
  <c r="BX135" i="1"/>
  <c r="BZ135" i="1"/>
  <c r="CB135" i="1"/>
  <c r="BV135" i="1"/>
  <c r="BS135" i="1"/>
  <c r="BU135" i="1"/>
  <c r="BW135" i="1"/>
  <c r="BY135" i="1"/>
  <c r="CA135" i="1"/>
  <c r="CD135" i="1"/>
  <c r="CF135" i="1"/>
  <c r="CE135" i="1" s="1"/>
  <c r="CH135" i="1"/>
  <c r="CC135" i="1"/>
  <c r="BX128" i="1"/>
  <c r="CA128" i="1"/>
  <c r="CD128" i="1"/>
  <c r="BZ128" i="1"/>
  <c r="CB128" i="1"/>
  <c r="BS128" i="1"/>
  <c r="BV128" i="1"/>
  <c r="CC128" i="1"/>
  <c r="BU128" i="1"/>
  <c r="CF128" i="1"/>
  <c r="CE128" i="1" s="1"/>
  <c r="BT128" i="1"/>
  <c r="CH128" i="1"/>
  <c r="BW128" i="1"/>
  <c r="BY128" i="1"/>
  <c r="BS120" i="1"/>
  <c r="BY120" i="1"/>
  <c r="BT120" i="1"/>
  <c r="BW120" i="1"/>
  <c r="CA120" i="1"/>
  <c r="CC120" i="1"/>
  <c r="CD120" i="1"/>
  <c r="BU120" i="1"/>
  <c r="BX120" i="1"/>
  <c r="CF120" i="1"/>
  <c r="CE120" i="1" s="1"/>
  <c r="CH120" i="1"/>
  <c r="BV120" i="1"/>
  <c r="BZ120" i="1"/>
  <c r="CB120" i="1"/>
  <c r="BY105" i="1"/>
  <c r="CB105" i="1"/>
  <c r="BT105" i="1"/>
  <c r="BW105" i="1"/>
  <c r="CF105" i="1"/>
  <c r="CE105" i="1" s="1"/>
  <c r="CH105" i="1"/>
  <c r="BU105" i="1"/>
  <c r="BZ105" i="1"/>
  <c r="BS105" i="1"/>
  <c r="BV105" i="1"/>
  <c r="BX105" i="1"/>
  <c r="CA105" i="1"/>
  <c r="CC105" i="1"/>
  <c r="CD105" i="1"/>
  <c r="CF101" i="1"/>
  <c r="CE101" i="1" s="1"/>
  <c r="BX101" i="1"/>
  <c r="CC101" i="1"/>
  <c r="CA101" i="1"/>
  <c r="CH101" i="1"/>
  <c r="BW101" i="1"/>
  <c r="BT101" i="1"/>
  <c r="BV101" i="1"/>
  <c r="BU101" i="1"/>
  <c r="BZ101" i="1"/>
  <c r="CD101" i="1"/>
  <c r="BY101" i="1"/>
  <c r="BS101" i="1"/>
  <c r="BO101" i="1" s="1"/>
  <c r="CB101" i="1"/>
  <c r="BT100" i="1"/>
  <c r="BX100" i="1"/>
  <c r="CB100" i="1"/>
  <c r="BS100" i="1"/>
  <c r="BW100" i="1"/>
  <c r="BY100" i="1"/>
  <c r="CC100" i="1"/>
  <c r="BU100" i="1"/>
  <c r="BZ100" i="1"/>
  <c r="CA100" i="1"/>
  <c r="CF100" i="1"/>
  <c r="CE100" i="1" s="1"/>
  <c r="CH100" i="1"/>
  <c r="BV100" i="1"/>
  <c r="CD100" i="1"/>
  <c r="BU91" i="1"/>
  <c r="CB91" i="1"/>
  <c r="BY91" i="1"/>
  <c r="BV91" i="1"/>
  <c r="CF91" i="1"/>
  <c r="CE91" i="1" s="1"/>
  <c r="BS91" i="1"/>
  <c r="CC91" i="1"/>
  <c r="BX91" i="1"/>
  <c r="CH91" i="1"/>
  <c r="BT91" i="1"/>
  <c r="BW91" i="1"/>
  <c r="BZ91" i="1"/>
  <c r="CD91" i="1"/>
  <c r="CA91" i="1"/>
  <c r="BT144" i="1"/>
  <c r="BV144" i="1"/>
  <c r="BY144" i="1"/>
  <c r="BZ144" i="1"/>
  <c r="CA144" i="1"/>
  <c r="CC144" i="1"/>
  <c r="CD144" i="1"/>
  <c r="CH144" i="1"/>
  <c r="BU144" i="1"/>
  <c r="BX144" i="1"/>
  <c r="CF144" i="1"/>
  <c r="CE144" i="1" s="1"/>
  <c r="BS144" i="1"/>
  <c r="BQ144" i="1" s="1"/>
  <c r="BR144" i="1" s="1"/>
  <c r="BW144" i="1"/>
  <c r="CB144" i="1"/>
  <c r="BV143" i="1"/>
  <c r="BZ143" i="1"/>
  <c r="CD143" i="1"/>
  <c r="BX143" i="1"/>
  <c r="BU143" i="1"/>
  <c r="CF143" i="1"/>
  <c r="CE143" i="1" s="1"/>
  <c r="CH143" i="1"/>
  <c r="BS143" i="1"/>
  <c r="BW143" i="1"/>
  <c r="CA143" i="1"/>
  <c r="BT143" i="1"/>
  <c r="BY143" i="1"/>
  <c r="CB143" i="1"/>
  <c r="CC143" i="1"/>
  <c r="CA142" i="1"/>
  <c r="BZ142" i="1"/>
  <c r="CC142" i="1"/>
  <c r="CH142" i="1"/>
  <c r="BU142" i="1"/>
  <c r="BX142" i="1"/>
  <c r="CF142" i="1"/>
  <c r="CE142" i="1" s="1"/>
  <c r="BS142" i="1"/>
  <c r="BV142" i="1"/>
  <c r="BY142" i="1"/>
  <c r="BT142" i="1"/>
  <c r="BW142" i="1"/>
  <c r="CB142" i="1"/>
  <c r="CD142" i="1"/>
  <c r="CF141" i="1"/>
  <c r="CE141" i="1" s="1"/>
  <c r="BS141" i="1"/>
  <c r="BU141" i="1"/>
  <c r="BW141" i="1"/>
  <c r="BX141" i="1"/>
  <c r="BZ141" i="1"/>
  <c r="CA141" i="1"/>
  <c r="CC141" i="1"/>
  <c r="CD141" i="1"/>
  <c r="CH141" i="1"/>
  <c r="BT141" i="1"/>
  <c r="BV141" i="1"/>
  <c r="BY141" i="1"/>
  <c r="CB141" i="1"/>
  <c r="BU136" i="1"/>
  <c r="BX136" i="1"/>
  <c r="CB136" i="1"/>
  <c r="BY136" i="1"/>
  <c r="CF136" i="1"/>
  <c r="CE136" i="1" s="1"/>
  <c r="CH136" i="1"/>
  <c r="BW136" i="1"/>
  <c r="BT136" i="1"/>
  <c r="CC136" i="1"/>
  <c r="BS136" i="1"/>
  <c r="BV136" i="1"/>
  <c r="BZ136" i="1"/>
  <c r="CA136" i="1"/>
  <c r="CD136" i="1"/>
  <c r="BS133" i="1"/>
  <c r="CA133" i="1"/>
  <c r="CC133" i="1"/>
  <c r="CH133" i="1"/>
  <c r="BU133" i="1"/>
  <c r="BT133" i="1"/>
  <c r="BV133" i="1"/>
  <c r="BX133" i="1"/>
  <c r="CF133" i="1"/>
  <c r="CE133" i="1" s="1"/>
  <c r="BW133" i="1"/>
  <c r="BY133" i="1"/>
  <c r="BZ133" i="1"/>
  <c r="CB133" i="1"/>
  <c r="CD133" i="1"/>
  <c r="BX132" i="1"/>
  <c r="BS132" i="1"/>
  <c r="BV132" i="1"/>
  <c r="BY132" i="1"/>
  <c r="CB132" i="1"/>
  <c r="CH132" i="1"/>
  <c r="CF132" i="1"/>
  <c r="CE132" i="1" s="1"/>
  <c r="BU132" i="1"/>
  <c r="BW132" i="1"/>
  <c r="CA132" i="1"/>
  <c r="CD132" i="1"/>
  <c r="BT132" i="1"/>
  <c r="BZ132" i="1"/>
  <c r="CC132" i="1"/>
  <c r="BT131" i="1"/>
  <c r="BY131" i="1"/>
  <c r="CB131" i="1"/>
  <c r="BX131" i="1"/>
  <c r="CA131" i="1"/>
  <c r="BS131" i="1"/>
  <c r="BW131" i="1"/>
  <c r="CD131" i="1"/>
  <c r="BU131" i="1"/>
  <c r="CF131" i="1"/>
  <c r="CE131" i="1" s="1"/>
  <c r="CH131" i="1"/>
  <c r="BV131" i="1"/>
  <c r="BZ131" i="1"/>
  <c r="CC131" i="1"/>
  <c r="BS126" i="1"/>
  <c r="BO126" i="1" s="1"/>
  <c r="CD126" i="1"/>
  <c r="CH126" i="1"/>
  <c r="BZ126" i="1"/>
  <c r="CC126" i="1"/>
  <c r="BV126" i="1"/>
  <c r="CF126" i="1"/>
  <c r="CE126" i="1" s="1"/>
  <c r="BU126" i="1"/>
  <c r="BX126" i="1"/>
  <c r="CA126" i="1"/>
  <c r="BT126" i="1"/>
  <c r="BW126" i="1"/>
  <c r="BY126" i="1"/>
  <c r="CB126" i="1"/>
  <c r="BV122" i="1"/>
  <c r="BZ122" i="1"/>
  <c r="BW122" i="1"/>
  <c r="CC122" i="1"/>
  <c r="CH122" i="1"/>
  <c r="BT122" i="1"/>
  <c r="CF122" i="1"/>
  <c r="CE122" i="1" s="1"/>
  <c r="BU122" i="1"/>
  <c r="BY122" i="1"/>
  <c r="CA122" i="1"/>
  <c r="CD122" i="1"/>
  <c r="BS122" i="1"/>
  <c r="BO122" i="1" s="1"/>
  <c r="BX122" i="1"/>
  <c r="CB122" i="1"/>
  <c r="BT112" i="1"/>
  <c r="CF112" i="1"/>
  <c r="CE112" i="1" s="1"/>
  <c r="BU112" i="1"/>
  <c r="BW112" i="1"/>
  <c r="BY112" i="1"/>
  <c r="CA112" i="1"/>
  <c r="CB112" i="1"/>
  <c r="CH112" i="1"/>
  <c r="BX112" i="1"/>
  <c r="CC112" i="1"/>
  <c r="BS112" i="1"/>
  <c r="BQ112" i="1" s="1"/>
  <c r="BR112" i="1" s="1"/>
  <c r="BV112" i="1"/>
  <c r="BZ112" i="1"/>
  <c r="CD112" i="1"/>
  <c r="BU110" i="1"/>
  <c r="BW110" i="1"/>
  <c r="BY110" i="1"/>
  <c r="CB110" i="1"/>
  <c r="CH110" i="1"/>
  <c r="CF110" i="1"/>
  <c r="CE110" i="1" s="1"/>
  <c r="BT110" i="1"/>
  <c r="CA110" i="1"/>
  <c r="CC110" i="1"/>
  <c r="BV110" i="1"/>
  <c r="BZ110" i="1"/>
  <c r="CD110" i="1"/>
  <c r="BS110" i="1"/>
  <c r="BO110" i="1" s="1"/>
  <c r="BX110" i="1"/>
  <c r="CA108" i="1"/>
  <c r="BU108" i="1"/>
  <c r="BX108" i="1"/>
  <c r="CC108" i="1"/>
  <c r="BV108" i="1"/>
  <c r="BY108" i="1"/>
  <c r="CB108" i="1"/>
  <c r="CH108" i="1"/>
  <c r="BT108" i="1"/>
  <c r="BW108" i="1"/>
  <c r="BZ108" i="1"/>
  <c r="CD108" i="1"/>
  <c r="CF108" i="1"/>
  <c r="CE108" i="1" s="1"/>
  <c r="BS108" i="1"/>
  <c r="CA102" i="1"/>
  <c r="CD102" i="1"/>
  <c r="BV102" i="1"/>
  <c r="BX102" i="1"/>
  <c r="CF102" i="1"/>
  <c r="CE102" i="1" s="1"/>
  <c r="BW102" i="1"/>
  <c r="CB102" i="1"/>
  <c r="BT102" i="1"/>
  <c r="BZ102" i="1"/>
  <c r="CC102" i="1"/>
  <c r="CH102" i="1"/>
  <c r="BS102" i="1"/>
  <c r="BQ102" i="1" s="1"/>
  <c r="BR102" i="1" s="1"/>
  <c r="BY102" i="1"/>
  <c r="BU102" i="1"/>
  <c r="CF99" i="1"/>
  <c r="CE99" i="1" s="1"/>
  <c r="BS99" i="1"/>
  <c r="BX99" i="1"/>
  <c r="BV99" i="1"/>
  <c r="CA99" i="1"/>
  <c r="CB99" i="1"/>
  <c r="CD99" i="1"/>
  <c r="BT99" i="1"/>
  <c r="BW99" i="1"/>
  <c r="BY99" i="1"/>
  <c r="CC99" i="1"/>
  <c r="CH99" i="1"/>
  <c r="BU99" i="1"/>
  <c r="BZ99" i="1"/>
  <c r="BU98" i="1"/>
  <c r="BY98" i="1"/>
  <c r="CB98" i="1"/>
  <c r="CD98" i="1"/>
  <c r="CF98" i="1"/>
  <c r="CE98" i="1" s="1"/>
  <c r="BS98" i="1"/>
  <c r="BV98" i="1"/>
  <c r="BW98" i="1"/>
  <c r="CA98" i="1"/>
  <c r="CC98" i="1"/>
  <c r="CH98" i="1"/>
  <c r="BT98" i="1"/>
  <c r="BX98" i="1"/>
  <c r="BZ98" i="1"/>
  <c r="CF92" i="1"/>
  <c r="CE92" i="1" s="1"/>
  <c r="BU92" i="1"/>
  <c r="BY92" i="1"/>
  <c r="BX92" i="1"/>
  <c r="CC92" i="1"/>
  <c r="CH92" i="1"/>
  <c r="BS92" i="1"/>
  <c r="BO92" i="1" s="1"/>
  <c r="BV92" i="1"/>
  <c r="CB92" i="1"/>
  <c r="CA92" i="1"/>
  <c r="CD92" i="1"/>
  <c r="BT92" i="1"/>
  <c r="BW92" i="1"/>
  <c r="BZ92" i="1"/>
  <c r="BY94" i="1"/>
  <c r="BT94" i="1"/>
  <c r="BZ94" i="1"/>
  <c r="CB94" i="1"/>
  <c r="BS94" i="1"/>
  <c r="BO94" i="1" s="1"/>
  <c r="CC94" i="1"/>
  <c r="CH94" i="1"/>
  <c r="BV94" i="1"/>
  <c r="BW94" i="1"/>
  <c r="CD94" i="1"/>
  <c r="CF94" i="1"/>
  <c r="CE94" i="1" s="1"/>
  <c r="BX94" i="1"/>
  <c r="BU94" i="1"/>
  <c r="CA94" i="1"/>
  <c r="BU93" i="1"/>
  <c r="BX93" i="1"/>
  <c r="CC93" i="1"/>
  <c r="BT93" i="1"/>
  <c r="CA93" i="1"/>
  <c r="BW93" i="1"/>
  <c r="BS93" i="1"/>
  <c r="BQ93" i="1" s="1"/>
  <c r="BR93" i="1" s="1"/>
  <c r="BV93" i="1"/>
  <c r="BZ93" i="1"/>
  <c r="CB93" i="1"/>
  <c r="CH93" i="1"/>
  <c r="BY93" i="1"/>
  <c r="CD93" i="1"/>
  <c r="CF93" i="1"/>
  <c r="CE93" i="1" s="1"/>
  <c r="BV106" i="1"/>
  <c r="CB106" i="1"/>
  <c r="BZ106" i="1"/>
  <c r="BX106" i="1"/>
  <c r="CA106" i="1"/>
  <c r="CD106" i="1"/>
  <c r="BS106" i="1"/>
  <c r="BO106" i="1" s="1"/>
  <c r="BW106" i="1"/>
  <c r="CC106" i="1"/>
  <c r="CH106" i="1"/>
  <c r="BT106" i="1"/>
  <c r="CF106" i="1"/>
  <c r="CE106" i="1" s="1"/>
  <c r="BU106" i="1"/>
  <c r="BY106"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Q28" i="1" l="1"/>
  <c r="BR28" i="1" s="1"/>
  <c r="BP10" i="1"/>
  <c r="BP34" i="1"/>
  <c r="BP32" i="1"/>
  <c r="BP12" i="1"/>
  <c r="BP23" i="1"/>
  <c r="BP18" i="1"/>
  <c r="BQ26" i="1"/>
  <c r="BR26" i="1" s="1"/>
  <c r="BP19" i="1"/>
  <c r="BP26" i="1"/>
  <c r="BP30" i="1"/>
  <c r="BP28" i="1"/>
  <c r="BP25" i="1"/>
  <c r="BQ30" i="1"/>
  <c r="BR30" i="1" s="1"/>
  <c r="BQ23" i="1"/>
  <c r="BR23" i="1" s="1"/>
  <c r="BO31" i="1"/>
  <c r="BP31" i="1" s="1"/>
  <c r="BO17" i="1"/>
  <c r="BP17" i="1" s="1"/>
  <c r="BQ25" i="1"/>
  <c r="BR25" i="1" s="1"/>
  <c r="BQ12" i="1"/>
  <c r="BR12" i="1" s="1"/>
  <c r="BO35" i="1"/>
  <c r="BO24" i="1"/>
  <c r="BQ11" i="1"/>
  <c r="BR11" i="1" s="1"/>
  <c r="BO13" i="1"/>
  <c r="BP13" i="1" s="1"/>
  <c r="BQ32" i="1"/>
  <c r="BR32" i="1" s="1"/>
  <c r="CR17" i="1"/>
  <c r="CG17" i="1"/>
  <c r="CG20" i="1"/>
  <c r="CR20" i="1"/>
  <c r="BP33" i="1"/>
  <c r="BO15" i="1"/>
  <c r="BP15" i="1" s="1"/>
  <c r="BP35" i="1"/>
  <c r="CG10" i="1"/>
  <c r="CR10" i="1"/>
  <c r="CR34" i="1"/>
  <c r="CG34"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G32" i="1"/>
  <c r="CR32" i="1"/>
  <c r="BP22" i="1"/>
  <c r="BP24" i="1"/>
  <c r="CR33" i="1"/>
  <c r="CG33" i="1"/>
  <c r="U3485" i="31"/>
  <c r="CG24" i="1"/>
  <c r="CR24" i="1"/>
  <c r="CG19" i="1"/>
  <c r="CR19" i="1"/>
  <c r="CR18" i="1"/>
  <c r="CG18" i="1"/>
  <c r="BO16" i="1"/>
  <c r="BP16" i="1" s="1"/>
  <c r="CG25" i="1"/>
  <c r="CR25" i="1"/>
  <c r="CG30" i="1"/>
  <c r="CR30" i="1"/>
  <c r="CR12" i="1"/>
  <c r="CG12" i="1"/>
  <c r="BQ10" i="1"/>
  <c r="BR10" i="1" s="1"/>
  <c r="BP11" i="1"/>
  <c r="BO20" i="1"/>
  <c r="BP20" i="1" s="1"/>
  <c r="BP27" i="1"/>
  <c r="CG26" i="1"/>
  <c r="CR26" i="1"/>
  <c r="CR13" i="1"/>
  <c r="CG13" i="1"/>
  <c r="CG15" i="1"/>
  <c r="CR15" i="1"/>
  <c r="CG35" i="1"/>
  <c r="CR35" i="1"/>
  <c r="CR28" i="1"/>
  <c r="CG28" i="1"/>
  <c r="CG11" i="1"/>
  <c r="CR11" i="1"/>
  <c r="CG27" i="1"/>
  <c r="CR27" i="1"/>
  <c r="U3486" i="31"/>
  <c r="BP21" i="1"/>
  <c r="BP29" i="1"/>
  <c r="CG21" i="1"/>
  <c r="CR21" i="1"/>
  <c r="CG14" i="1"/>
  <c r="CR14" i="1"/>
  <c r="CG31" i="1"/>
  <c r="CR31" i="1"/>
  <c r="BP14" i="1"/>
  <c r="BQ34" i="1"/>
  <c r="BR34" i="1" s="1"/>
  <c r="CG29" i="1"/>
  <c r="CR29" i="1"/>
  <c r="CR22" i="1"/>
  <c r="CG22" i="1"/>
  <c r="CG16" i="1"/>
  <c r="CR16" i="1"/>
  <c r="CR23" i="1"/>
  <c r="CG23" i="1"/>
  <c r="AM3487" i="31"/>
  <c r="AL3487" i="31"/>
  <c r="T3487" i="31" a="1"/>
  <c r="T3487" i="31" s="1"/>
  <c r="U3487" i="31" s="1"/>
  <c r="B3488" i="31"/>
  <c r="AS3487" i="31"/>
  <c r="AV3486" i="31"/>
  <c r="AU3486" i="31"/>
  <c r="AT3486" i="31" s="1"/>
  <c r="BO38" i="1"/>
  <c r="BP38" i="1" s="1"/>
  <c r="BO37" i="1"/>
  <c r="BP37" i="1" s="1"/>
  <c r="CR36" i="1"/>
  <c r="CG36" i="1"/>
  <c r="CG37" i="1"/>
  <c r="CR37" i="1"/>
  <c r="BO36" i="1"/>
  <c r="BP36" i="1" s="1"/>
  <c r="CG38" i="1"/>
  <c r="CR38" i="1"/>
  <c r="BP39" i="1"/>
  <c r="BQ39" i="1"/>
  <c r="BR39" i="1" s="1"/>
  <c r="CG40" i="1"/>
  <c r="CR40" i="1"/>
  <c r="CG39" i="1"/>
  <c r="CR39" i="1"/>
  <c r="BO40" i="1"/>
  <c r="BP40" i="1" s="1"/>
  <c r="BO42" i="1"/>
  <c r="BP42" i="1" s="1"/>
  <c r="CG42" i="1"/>
  <c r="CR42" i="1"/>
  <c r="BO41" i="1"/>
  <c r="BP41" i="1" s="1"/>
  <c r="CG41" i="1"/>
  <c r="CR41" i="1"/>
  <c r="BP53" i="1"/>
  <c r="BP47" i="1"/>
  <c r="BP46" i="1"/>
  <c r="BP49" i="1"/>
  <c r="BP43" i="1"/>
  <c r="BP52" i="1"/>
  <c r="BP45" i="1"/>
  <c r="BP51" i="1"/>
  <c r="BP50" i="1"/>
  <c r="BP48" i="1"/>
  <c r="BQ48" i="1"/>
  <c r="BR48" i="1" s="1"/>
  <c r="BO44" i="1"/>
  <c r="BP44" i="1" s="1"/>
  <c r="BQ46" i="1"/>
  <c r="BR46" i="1" s="1"/>
  <c r="BQ47" i="1"/>
  <c r="BR47" i="1" s="1"/>
  <c r="BQ49" i="1"/>
  <c r="BR49" i="1" s="1"/>
  <c r="BQ51" i="1"/>
  <c r="BR51" i="1" s="1"/>
  <c r="BQ53" i="1"/>
  <c r="BR53" i="1" s="1"/>
  <c r="CG53" i="1"/>
  <c r="CR53" i="1"/>
  <c r="CG46" i="1"/>
  <c r="CR46" i="1"/>
  <c r="BQ45" i="1"/>
  <c r="BR45" i="1" s="1"/>
  <c r="BQ43" i="1"/>
  <c r="BR43" i="1" s="1"/>
  <c r="CG44" i="1"/>
  <c r="CR44" i="1"/>
  <c r="CR43" i="1"/>
  <c r="CG43" i="1"/>
  <c r="BQ52" i="1"/>
  <c r="BR52" i="1" s="1"/>
  <c r="BQ50" i="1"/>
  <c r="BR50" i="1" s="1"/>
  <c r="CG49" i="1"/>
  <c r="CR49" i="1"/>
  <c r="CG52" i="1"/>
  <c r="CR52" i="1"/>
  <c r="CR51" i="1"/>
  <c r="CG51" i="1"/>
  <c r="CG45" i="1"/>
  <c r="CR45" i="1"/>
  <c r="CG50" i="1"/>
  <c r="CR50" i="1"/>
  <c r="CG48" i="1"/>
  <c r="CR48" i="1"/>
  <c r="CR47" i="1"/>
  <c r="CG47" i="1"/>
  <c r="BO56" i="1"/>
  <c r="BP56" i="1" s="1"/>
  <c r="BQ73" i="1"/>
  <c r="BR73" i="1" s="1"/>
  <c r="BQ122" i="1"/>
  <c r="BR122" i="1" s="1"/>
  <c r="BQ131" i="1"/>
  <c r="BR131" i="1" s="1"/>
  <c r="BO131" i="1"/>
  <c r="BP131" i="1" s="1"/>
  <c r="BQ145" i="1"/>
  <c r="BR145" i="1" s="1"/>
  <c r="BO145" i="1"/>
  <c r="BP145" i="1" s="1"/>
  <c r="BO132" i="1"/>
  <c r="BP132" i="1" s="1"/>
  <c r="BQ132" i="1"/>
  <c r="BR132" i="1" s="1"/>
  <c r="BQ108" i="1"/>
  <c r="BR108" i="1" s="1"/>
  <c r="BO108" i="1"/>
  <c r="BP108" i="1" s="1"/>
  <c r="BQ99" i="1"/>
  <c r="BR99" i="1" s="1"/>
  <c r="BO99" i="1"/>
  <c r="BP99" i="1" s="1"/>
  <c r="BQ98" i="1"/>
  <c r="BR98" i="1" s="1"/>
  <c r="BO98" i="1"/>
  <c r="BP98" i="1" s="1"/>
  <c r="BO95" i="1"/>
  <c r="BP95" i="1" s="1"/>
  <c r="BQ95" i="1"/>
  <c r="BR95" i="1" s="1"/>
  <c r="BQ130" i="1"/>
  <c r="BR130" i="1" s="1"/>
  <c r="BO130" i="1"/>
  <c r="BP130" i="1" s="1"/>
  <c r="BO76" i="1"/>
  <c r="BP76" i="1" s="1"/>
  <c r="BQ76" i="1"/>
  <c r="BR76" i="1" s="1"/>
  <c r="BO81" i="1"/>
  <c r="BP81" i="1" s="1"/>
  <c r="BQ81" i="1"/>
  <c r="BR81" i="1" s="1"/>
  <c r="BO75" i="1"/>
  <c r="BP75" i="1" s="1"/>
  <c r="BQ75" i="1"/>
  <c r="BR75" i="1" s="1"/>
  <c r="BO63" i="1"/>
  <c r="BP63" i="1" s="1"/>
  <c r="BQ63" i="1"/>
  <c r="BR63" i="1" s="1"/>
  <c r="BQ70" i="1"/>
  <c r="BR70" i="1" s="1"/>
  <c r="BO70" i="1"/>
  <c r="BP70" i="1" s="1"/>
  <c r="BQ140" i="1"/>
  <c r="BR140" i="1" s="1"/>
  <c r="BQ87" i="1"/>
  <c r="BR87" i="1" s="1"/>
  <c r="BO111" i="1"/>
  <c r="BP111" i="1" s="1"/>
  <c r="BO134" i="1"/>
  <c r="BP134" i="1" s="1"/>
  <c r="BQ109" i="1"/>
  <c r="BR109" i="1" s="1"/>
  <c r="BO147" i="1"/>
  <c r="BP147" i="1" s="1"/>
  <c r="BO144" i="1"/>
  <c r="BP144" i="1" s="1"/>
  <c r="BQ104" i="1"/>
  <c r="BR104" i="1" s="1"/>
  <c r="BQ148" i="1"/>
  <c r="BR148" i="1" s="1"/>
  <c r="BO107" i="1"/>
  <c r="BP107" i="1" s="1"/>
  <c r="BO74" i="1"/>
  <c r="BP74" i="1" s="1"/>
  <c r="BQ62" i="1"/>
  <c r="BR62" i="1" s="1"/>
  <c r="BO82" i="1"/>
  <c r="BP82" i="1" s="1"/>
  <c r="BQ94" i="1"/>
  <c r="BR94" i="1" s="1"/>
  <c r="BO103" i="1"/>
  <c r="BP103" i="1" s="1"/>
  <c r="BQ138" i="1"/>
  <c r="BR138" i="1" s="1"/>
  <c r="BQ106" i="1"/>
  <c r="BR106" i="1" s="1"/>
  <c r="BQ92" i="1"/>
  <c r="BR92" i="1" s="1"/>
  <c r="BO55" i="1"/>
  <c r="BP55" i="1" s="1"/>
  <c r="BO112" i="1"/>
  <c r="BP112" i="1" s="1"/>
  <c r="BQ126" i="1"/>
  <c r="BR126" i="1" s="1"/>
  <c r="BO124" i="1"/>
  <c r="BP124" i="1" s="1"/>
  <c r="BQ71" i="1"/>
  <c r="BR71" i="1" s="1"/>
  <c r="BQ101" i="1"/>
  <c r="BR101" i="1" s="1"/>
  <c r="BQ77" i="1"/>
  <c r="BR77" i="1" s="1"/>
  <c r="BQ110" i="1"/>
  <c r="BR110" i="1" s="1"/>
  <c r="BO102" i="1"/>
  <c r="BP102" i="1" s="1"/>
  <c r="BO125" i="1"/>
  <c r="BP125" i="1" s="1"/>
  <c r="BO129" i="1"/>
  <c r="BP129" i="1" s="1"/>
  <c r="BO93" i="1"/>
  <c r="BP93" i="1" s="1"/>
  <c r="BO67" i="1"/>
  <c r="BP67" i="1" s="1"/>
  <c r="BQ67" i="1"/>
  <c r="BR67" i="1" s="1"/>
  <c r="BO78" i="1"/>
  <c r="BP78" i="1" s="1"/>
  <c r="BQ78" i="1"/>
  <c r="BR78" i="1" s="1"/>
  <c r="BQ65" i="1"/>
  <c r="BR65" i="1" s="1"/>
  <c r="BO65" i="1"/>
  <c r="BP65" i="1" s="1"/>
  <c r="BO59" i="1"/>
  <c r="BP59" i="1" s="1"/>
  <c r="BQ59" i="1"/>
  <c r="BR59" i="1" s="1"/>
  <c r="BO86" i="1"/>
  <c r="BP86" i="1" s="1"/>
  <c r="BQ86" i="1"/>
  <c r="BR86" i="1" s="1"/>
  <c r="BQ68" i="1"/>
  <c r="BR68" i="1" s="1"/>
  <c r="BO68" i="1"/>
  <c r="BP68" i="1" s="1"/>
  <c r="BQ80" i="1"/>
  <c r="BR80" i="1" s="1"/>
  <c r="BO80" i="1"/>
  <c r="BP80" i="1" s="1"/>
  <c r="BP77" i="1"/>
  <c r="BQ88" i="1"/>
  <c r="BR88" i="1" s="1"/>
  <c r="BO88" i="1"/>
  <c r="BP88" i="1" s="1"/>
  <c r="BO83" i="1"/>
  <c r="BP83" i="1" s="1"/>
  <c r="BQ83" i="1"/>
  <c r="BR83" i="1" s="1"/>
  <c r="BO54" i="1"/>
  <c r="BP54" i="1" s="1"/>
  <c r="BQ54" i="1"/>
  <c r="BR54" i="1" s="1"/>
  <c r="BO58" i="1"/>
  <c r="BP58" i="1" s="1"/>
  <c r="BQ58" i="1"/>
  <c r="BR58" i="1" s="1"/>
  <c r="BO113" i="1"/>
  <c r="BP113" i="1" s="1"/>
  <c r="BQ113" i="1"/>
  <c r="BR113" i="1" s="1"/>
  <c r="BO96" i="1"/>
  <c r="BP96" i="1" s="1"/>
  <c r="BQ96" i="1"/>
  <c r="BR96" i="1" s="1"/>
  <c r="BQ146" i="1"/>
  <c r="BR146" i="1" s="1"/>
  <c r="BO146" i="1"/>
  <c r="BP146" i="1" s="1"/>
  <c r="BQ127" i="1"/>
  <c r="BR127" i="1" s="1"/>
  <c r="BO127" i="1"/>
  <c r="BP127" i="1" s="1"/>
  <c r="BO121" i="1"/>
  <c r="BP121" i="1" s="1"/>
  <c r="BQ121" i="1"/>
  <c r="BR121" i="1" s="1"/>
  <c r="BO139" i="1"/>
  <c r="BP139" i="1" s="1"/>
  <c r="BQ139" i="1"/>
  <c r="BR139" i="1" s="1"/>
  <c r="BO91" i="1"/>
  <c r="BP91" i="1" s="1"/>
  <c r="BQ91" i="1"/>
  <c r="BR91" i="1" s="1"/>
  <c r="BO143" i="1"/>
  <c r="BP143" i="1" s="1"/>
  <c r="BQ143" i="1"/>
  <c r="BR143" i="1" s="1"/>
  <c r="BO142" i="1"/>
  <c r="BP142" i="1" s="1"/>
  <c r="BQ142" i="1"/>
  <c r="BR142" i="1" s="1"/>
  <c r="BO133" i="1"/>
  <c r="BP133" i="1" s="1"/>
  <c r="BQ133" i="1"/>
  <c r="BR133" i="1" s="1"/>
  <c r="BQ61" i="1"/>
  <c r="BR61" i="1" s="1"/>
  <c r="BO61" i="1"/>
  <c r="BP61" i="1" s="1"/>
  <c r="BQ69" i="1"/>
  <c r="BR69" i="1" s="1"/>
  <c r="BO69" i="1"/>
  <c r="BP69" i="1" s="1"/>
  <c r="BQ66" i="1"/>
  <c r="BR66" i="1" s="1"/>
  <c r="BO66" i="1"/>
  <c r="BP66" i="1" s="1"/>
  <c r="BO64" i="1"/>
  <c r="BP64" i="1" s="1"/>
  <c r="BQ64" i="1"/>
  <c r="BR64" i="1" s="1"/>
  <c r="BQ123" i="1"/>
  <c r="BR123" i="1" s="1"/>
  <c r="BO123" i="1"/>
  <c r="BP123" i="1" s="1"/>
  <c r="BQ97" i="1"/>
  <c r="BR97" i="1" s="1"/>
  <c r="BO97" i="1"/>
  <c r="BP97" i="1" s="1"/>
  <c r="BQ137" i="1"/>
  <c r="BR137" i="1" s="1"/>
  <c r="BO137" i="1"/>
  <c r="BP137" i="1" s="1"/>
  <c r="BO135" i="1"/>
  <c r="BP135" i="1" s="1"/>
  <c r="BQ135" i="1"/>
  <c r="BR135" i="1" s="1"/>
  <c r="BQ128" i="1"/>
  <c r="BR128" i="1" s="1"/>
  <c r="BO128" i="1"/>
  <c r="BP128" i="1" s="1"/>
  <c r="BQ120" i="1"/>
  <c r="BR120" i="1" s="1"/>
  <c r="BO120" i="1"/>
  <c r="BP120" i="1" s="1"/>
  <c r="BO105" i="1"/>
  <c r="BP105" i="1" s="1"/>
  <c r="BQ105" i="1"/>
  <c r="BR105" i="1" s="1"/>
  <c r="BQ100" i="1"/>
  <c r="BR100" i="1" s="1"/>
  <c r="BO100" i="1"/>
  <c r="BP100" i="1" s="1"/>
  <c r="BQ141" i="1"/>
  <c r="BR141" i="1" s="1"/>
  <c r="BO141" i="1"/>
  <c r="BP141" i="1" s="1"/>
  <c r="BO136" i="1"/>
  <c r="BP136" i="1" s="1"/>
  <c r="BQ136" i="1"/>
  <c r="BR136" i="1" s="1"/>
  <c r="CR87" i="1"/>
  <c r="CG87" i="1"/>
  <c r="CR82" i="1"/>
  <c r="CG82" i="1"/>
  <c r="CR73" i="1"/>
  <c r="CG73" i="1"/>
  <c r="CR56" i="1"/>
  <c r="CG56" i="1"/>
  <c r="CG55" i="1"/>
  <c r="CR55" i="1"/>
  <c r="CG78" i="1"/>
  <c r="CR78" i="1"/>
  <c r="CR76" i="1"/>
  <c r="CG76" i="1"/>
  <c r="CR81" i="1"/>
  <c r="CG81" i="1"/>
  <c r="CR70" i="1"/>
  <c r="CG70" i="1"/>
  <c r="CG88" i="1"/>
  <c r="CR88" i="1"/>
  <c r="CG84" i="1"/>
  <c r="CR84" i="1"/>
  <c r="CR75" i="1"/>
  <c r="CG75" i="1"/>
  <c r="CG67" i="1"/>
  <c r="CR67" i="1"/>
  <c r="CR63" i="1"/>
  <c r="CG63" i="1"/>
  <c r="CR62" i="1"/>
  <c r="CG62" i="1"/>
  <c r="CR60" i="1"/>
  <c r="CG60" i="1"/>
  <c r="CG86" i="1"/>
  <c r="CR86" i="1"/>
  <c r="CR85" i="1"/>
  <c r="CG85" i="1"/>
  <c r="CG83" i="1"/>
  <c r="CR83" i="1"/>
  <c r="CR79" i="1"/>
  <c r="CG79" i="1"/>
  <c r="CR65" i="1"/>
  <c r="CG65" i="1"/>
  <c r="CR61" i="1"/>
  <c r="CG61" i="1"/>
  <c r="CG59" i="1"/>
  <c r="CR59" i="1"/>
  <c r="CG57" i="1"/>
  <c r="CR57" i="1"/>
  <c r="CR54" i="1"/>
  <c r="CG54" i="1"/>
  <c r="CG68" i="1"/>
  <c r="CR68" i="1"/>
  <c r="CR80" i="1"/>
  <c r="CG80" i="1"/>
  <c r="CR72" i="1"/>
  <c r="CG72" i="1"/>
  <c r="CG77" i="1"/>
  <c r="CR77" i="1"/>
  <c r="CG74" i="1"/>
  <c r="CR74" i="1"/>
  <c r="CG71" i="1"/>
  <c r="CR71" i="1"/>
  <c r="CG69" i="1"/>
  <c r="CR69" i="1"/>
  <c r="CR66" i="1"/>
  <c r="CG66" i="1"/>
  <c r="CR64" i="1"/>
  <c r="CG64" i="1"/>
  <c r="CG58" i="1"/>
  <c r="CR58" i="1"/>
  <c r="BP62" i="1"/>
  <c r="BP73" i="1"/>
  <c r="BP87" i="1"/>
  <c r="BP71" i="1"/>
  <c r="BQ84" i="1"/>
  <c r="BR84" i="1" s="1"/>
  <c r="BO84" i="1"/>
  <c r="BP84" i="1" s="1"/>
  <c r="BO60" i="1"/>
  <c r="BP60" i="1" s="1"/>
  <c r="BQ60" i="1"/>
  <c r="BR60" i="1" s="1"/>
  <c r="BQ85" i="1"/>
  <c r="BR85" i="1" s="1"/>
  <c r="BO85" i="1"/>
  <c r="BP85" i="1" s="1"/>
  <c r="BO79" i="1"/>
  <c r="BP79" i="1" s="1"/>
  <c r="BQ79" i="1"/>
  <c r="BR79" i="1" s="1"/>
  <c r="BQ57" i="1"/>
  <c r="BR57" i="1" s="1"/>
  <c r="BO57" i="1"/>
  <c r="BP57" i="1" s="1"/>
  <c r="BQ72" i="1"/>
  <c r="BR72" i="1" s="1"/>
  <c r="BO72" i="1"/>
  <c r="BP72" i="1" s="1"/>
  <c r="BQ119" i="1"/>
  <c r="BR119" i="1" s="1"/>
  <c r="BO119" i="1"/>
  <c r="BP119" i="1" s="1"/>
  <c r="BQ118" i="1"/>
  <c r="BR118" i="1" s="1"/>
  <c r="BO118" i="1"/>
  <c r="BP118" i="1" s="1"/>
  <c r="BQ117" i="1"/>
  <c r="BR117" i="1" s="1"/>
  <c r="BO117" i="1"/>
  <c r="BP117" i="1" s="1"/>
  <c r="BQ116" i="1"/>
  <c r="BR116" i="1" s="1"/>
  <c r="BO116" i="1"/>
  <c r="BP116" i="1" s="1"/>
  <c r="BQ115" i="1"/>
  <c r="BR115" i="1" s="1"/>
  <c r="BO115" i="1"/>
  <c r="BP115" i="1" s="1"/>
  <c r="BQ114" i="1"/>
  <c r="BR114" i="1" s="1"/>
  <c r="BO114" i="1"/>
  <c r="BP114" i="1" s="1"/>
  <c r="BQ90" i="1"/>
  <c r="BR90" i="1" s="1"/>
  <c r="BO90" i="1"/>
  <c r="BP90" i="1" s="1"/>
  <c r="BQ89" i="1"/>
  <c r="BR89" i="1" s="1"/>
  <c r="BO89" i="1"/>
  <c r="BP89" i="1" s="1"/>
  <c r="CR148" i="1"/>
  <c r="CG148" i="1"/>
  <c r="CR145" i="1"/>
  <c r="CG145" i="1"/>
  <c r="CR140" i="1"/>
  <c r="CG140" i="1"/>
  <c r="CR138" i="1"/>
  <c r="CG138" i="1"/>
  <c r="CR129" i="1"/>
  <c r="CG129" i="1"/>
  <c r="CR125" i="1"/>
  <c r="CG125" i="1"/>
  <c r="CR107" i="1"/>
  <c r="CG107" i="1"/>
  <c r="CR95" i="1"/>
  <c r="CG95" i="1"/>
  <c r="CR119" i="1"/>
  <c r="CG119" i="1"/>
  <c r="CR118" i="1"/>
  <c r="CG118" i="1"/>
  <c r="CR117" i="1"/>
  <c r="CG117" i="1"/>
  <c r="CR116" i="1"/>
  <c r="CG116" i="1"/>
  <c r="CR115" i="1"/>
  <c r="CG115" i="1"/>
  <c r="CR114" i="1"/>
  <c r="CG114" i="1"/>
  <c r="CR113" i="1"/>
  <c r="CG113" i="1"/>
  <c r="CR111" i="1"/>
  <c r="CG111" i="1"/>
  <c r="CR109" i="1"/>
  <c r="CG109" i="1"/>
  <c r="CR103" i="1"/>
  <c r="CG103" i="1"/>
  <c r="CR96" i="1"/>
  <c r="CG96" i="1"/>
  <c r="CR90" i="1"/>
  <c r="CG90" i="1"/>
  <c r="CR89" i="1"/>
  <c r="CG89" i="1"/>
  <c r="CR104" i="1"/>
  <c r="CG104" i="1"/>
  <c r="CR146" i="1"/>
  <c r="CG146" i="1"/>
  <c r="CG134" i="1"/>
  <c r="CR134" i="1"/>
  <c r="CR130" i="1"/>
  <c r="CG130" i="1"/>
  <c r="CG127" i="1"/>
  <c r="CR127" i="1"/>
  <c r="CG124" i="1"/>
  <c r="CR124" i="1"/>
  <c r="CG123" i="1"/>
  <c r="CR123" i="1"/>
  <c r="CR121" i="1"/>
  <c r="CG121" i="1"/>
  <c r="CG97" i="1"/>
  <c r="CR97" i="1"/>
  <c r="CR147" i="1"/>
  <c r="CG147" i="1"/>
  <c r="CG139" i="1"/>
  <c r="CR139" i="1"/>
  <c r="CG137" i="1"/>
  <c r="CR137" i="1"/>
  <c r="CG135" i="1"/>
  <c r="CR135" i="1"/>
  <c r="CG128" i="1"/>
  <c r="CR128" i="1"/>
  <c r="CR120" i="1"/>
  <c r="CG120" i="1"/>
  <c r="CR105" i="1"/>
  <c r="CG105" i="1"/>
  <c r="CG101" i="1"/>
  <c r="CR101" i="1"/>
  <c r="CG100" i="1"/>
  <c r="CR100" i="1"/>
  <c r="CR91" i="1"/>
  <c r="CG91" i="1"/>
  <c r="CR144" i="1"/>
  <c r="CG144" i="1"/>
  <c r="CG143" i="1"/>
  <c r="CR143" i="1"/>
  <c r="CG142" i="1"/>
  <c r="CR142" i="1"/>
  <c r="CG141" i="1"/>
  <c r="CR141" i="1"/>
  <c r="CR136" i="1"/>
  <c r="CG136" i="1"/>
  <c r="CR133" i="1"/>
  <c r="CG133" i="1"/>
  <c r="CG132" i="1"/>
  <c r="CR132" i="1"/>
  <c r="CG131" i="1"/>
  <c r="CR131" i="1"/>
  <c r="CG126" i="1"/>
  <c r="CR126" i="1"/>
  <c r="CR122" i="1"/>
  <c r="CG122" i="1"/>
  <c r="CR112" i="1"/>
  <c r="CG112" i="1"/>
  <c r="CR110" i="1"/>
  <c r="CG110" i="1"/>
  <c r="CG108" i="1"/>
  <c r="CR108" i="1"/>
  <c r="CG102" i="1"/>
  <c r="CR102" i="1"/>
  <c r="CG99" i="1"/>
  <c r="CR99" i="1"/>
  <c r="CR98" i="1"/>
  <c r="CG98" i="1"/>
  <c r="CG92" i="1"/>
  <c r="CR92" i="1"/>
  <c r="CR94" i="1"/>
  <c r="CG94" i="1"/>
  <c r="CR93" i="1"/>
  <c r="CG93" i="1"/>
  <c r="CR106" i="1"/>
  <c r="CG106" i="1"/>
  <c r="BP110" i="1"/>
  <c r="BP104" i="1"/>
  <c r="BP126" i="1"/>
  <c r="BP109" i="1"/>
  <c r="BP92" i="1"/>
  <c r="BP101" i="1"/>
  <c r="BP148" i="1"/>
  <c r="BP138" i="1"/>
  <c r="BP140" i="1"/>
  <c r="BP94" i="1"/>
  <c r="BP106" i="1"/>
  <c r="BP122"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21" i="1" l="1"/>
  <c r="CN32" i="1"/>
  <c r="CN16" i="1"/>
  <c r="CN27" i="1"/>
  <c r="CN11" i="1"/>
  <c r="CN22" i="1"/>
  <c r="CN33" i="1"/>
  <c r="CN17" i="1"/>
  <c r="CN28" i="1"/>
  <c r="CN12" i="1"/>
  <c r="CN23" i="1"/>
  <c r="CN30" i="1"/>
  <c r="CN14" i="1"/>
  <c r="CN26" i="1"/>
  <c r="CN34" i="1"/>
  <c r="CN18" i="1"/>
  <c r="CN29" i="1"/>
  <c r="CN13" i="1"/>
  <c r="CN24" i="1"/>
  <c r="CN35" i="1"/>
  <c r="CN19" i="1"/>
  <c r="CN25" i="1"/>
  <c r="CN20" i="1"/>
  <c r="CN15" i="1"/>
  <c r="CN10" i="1"/>
  <c r="CN31" i="1"/>
  <c r="AV3487" i="31"/>
  <c r="AU3487" i="31" s="1"/>
  <c r="AT3487" i="31" s="1"/>
  <c r="AM3488" i="31"/>
  <c r="AL3488" i="31"/>
  <c r="T3488" i="31" a="1"/>
  <c r="T3488" i="31" s="1"/>
  <c r="U3488" i="31" s="1"/>
  <c r="B3489" i="31"/>
  <c r="AS3488" i="31"/>
  <c r="CN36" i="1"/>
  <c r="CN37" i="1"/>
  <c r="CN38" i="1"/>
  <c r="CN39" i="1"/>
  <c r="CN40" i="1"/>
  <c r="CN41" i="1"/>
  <c r="CN42" i="1"/>
  <c r="CN50" i="1"/>
  <c r="CN46" i="1"/>
  <c r="CN51" i="1"/>
  <c r="CN47" i="1"/>
  <c r="CN43" i="1"/>
  <c r="CN52" i="1"/>
  <c r="CN48" i="1"/>
  <c r="CN44" i="1"/>
  <c r="CN53" i="1"/>
  <c r="CN49" i="1"/>
  <c r="CN45" i="1"/>
  <c r="CN83" i="1"/>
  <c r="CN80" i="1"/>
  <c r="CN74" i="1"/>
  <c r="CN73" i="1"/>
  <c r="CN70" i="1"/>
  <c r="CN68" i="1"/>
  <c r="CN67" i="1"/>
  <c r="CN55" i="1"/>
  <c r="CN84" i="1"/>
  <c r="CN82" i="1"/>
  <c r="CN71" i="1"/>
  <c r="CN66" i="1"/>
  <c r="CN65" i="1"/>
  <c r="CN60" i="1"/>
  <c r="CN57" i="1"/>
  <c r="CN54" i="1"/>
  <c r="CN86" i="1"/>
  <c r="CN79" i="1"/>
  <c r="CN77" i="1"/>
  <c r="CN76" i="1"/>
  <c r="CN62" i="1"/>
  <c r="CN85" i="1"/>
  <c r="CN81" i="1"/>
  <c r="CN78" i="1"/>
  <c r="CN61" i="1"/>
  <c r="CN56" i="1"/>
  <c r="CN88" i="1"/>
  <c r="CN58" i="1"/>
  <c r="CN87" i="1"/>
  <c r="CN72" i="1"/>
  <c r="CN59" i="1"/>
  <c r="CN75" i="1"/>
  <c r="CN69" i="1"/>
  <c r="CN64" i="1"/>
  <c r="CN63" i="1"/>
  <c r="CN148" i="1"/>
  <c r="CN125" i="1"/>
  <c r="CN123" i="1"/>
  <c r="CN120" i="1"/>
  <c r="CN108" i="1"/>
  <c r="CN107" i="1"/>
  <c r="CN106" i="1"/>
  <c r="CN103" i="1"/>
  <c r="CN97" i="1"/>
  <c r="CN95" i="1"/>
  <c r="CN119" i="1"/>
  <c r="CN118" i="1"/>
  <c r="CN117" i="1"/>
  <c r="CN116" i="1"/>
  <c r="CN115" i="1"/>
  <c r="CN114" i="1"/>
  <c r="CN113" i="1"/>
  <c r="CN112" i="1"/>
  <c r="CN110" i="1"/>
  <c r="CN105" i="1"/>
  <c r="CN89" i="1"/>
  <c r="CN96" i="1"/>
  <c r="CN146" i="1"/>
  <c r="CN140" i="1"/>
  <c r="CN129" i="1"/>
  <c r="CN127" i="1"/>
  <c r="CN147" i="1"/>
  <c r="CN145" i="1"/>
  <c r="CN139" i="1"/>
  <c r="CN138" i="1"/>
  <c r="CN137" i="1"/>
  <c r="CN128" i="1"/>
  <c r="CN109" i="1"/>
  <c r="CN100" i="1"/>
  <c r="CN144" i="1"/>
  <c r="CN143" i="1"/>
  <c r="CN141" i="1"/>
  <c r="CN135" i="1"/>
  <c r="CN133" i="1"/>
  <c r="CN132" i="1"/>
  <c r="CN131" i="1"/>
  <c r="CN130" i="1"/>
  <c r="CN126" i="1"/>
  <c r="CN124" i="1"/>
  <c r="CN122" i="1"/>
  <c r="CN121" i="1"/>
  <c r="CN111" i="1"/>
  <c r="CN102" i="1"/>
  <c r="CN99" i="1"/>
  <c r="CN98" i="1"/>
  <c r="CN92" i="1"/>
  <c r="CN142" i="1"/>
  <c r="CN94" i="1"/>
  <c r="CN91" i="1"/>
  <c r="CN90" i="1"/>
  <c r="CN136" i="1"/>
  <c r="CN134" i="1"/>
  <c r="CN101" i="1"/>
  <c r="CN104" i="1"/>
  <c r="CN93" i="1"/>
  <c r="CN151" i="1"/>
  <c r="CI151" i="1" s="1"/>
  <c r="CN150" i="1"/>
  <c r="CI150" i="1" s="1"/>
  <c r="CN153" i="1"/>
  <c r="CI153" i="1" s="1"/>
  <c r="CN152" i="1"/>
  <c r="CI152" i="1" s="1"/>
  <c r="CN149" i="1"/>
  <c r="CI149" i="1" s="1"/>
  <c r="CN154" i="1"/>
  <c r="CI154" i="1" s="1"/>
  <c r="CN156" i="1"/>
  <c r="CI156" i="1" s="1"/>
  <c r="CN155" i="1"/>
  <c r="CI155" i="1" s="1"/>
  <c r="CN165" i="1"/>
  <c r="CI165" i="1" s="1"/>
  <c r="CN166" i="1"/>
  <c r="CI166" i="1" s="1"/>
  <c r="CN167" i="1"/>
  <c r="CI167" i="1" s="1"/>
  <c r="CN160" i="1"/>
  <c r="CI160" i="1" s="1"/>
  <c r="CN162" i="1"/>
  <c r="CI162" i="1" s="1"/>
  <c r="CN168" i="1"/>
  <c r="CI168" i="1" s="1"/>
  <c r="CN157" i="1"/>
  <c r="CI157" i="1" s="1"/>
  <c r="CN159" i="1"/>
  <c r="CI159" i="1" s="1"/>
  <c r="CN158" i="1"/>
  <c r="CI158" i="1" s="1"/>
  <c r="CN161" i="1"/>
  <c r="CI161" i="1" s="1"/>
  <c r="CN164" i="1"/>
  <c r="CI164" i="1" s="1"/>
  <c r="CN163" i="1"/>
  <c r="CI163" i="1" s="1"/>
  <c r="CN172" i="1"/>
  <c r="CI172" i="1" s="1"/>
  <c r="CN173" i="1"/>
  <c r="CI173" i="1" s="1"/>
  <c r="CN171" i="1"/>
  <c r="CI171" i="1" s="1"/>
  <c r="CN169" i="1"/>
  <c r="CI169" i="1" s="1"/>
  <c r="CN174" i="1"/>
  <c r="CI174" i="1" s="1"/>
  <c r="CN170" i="1"/>
  <c r="CI170" i="1" s="1"/>
  <c r="CN177" i="1"/>
  <c r="CI177" i="1" s="1"/>
  <c r="CN176" i="1"/>
  <c r="CI176" i="1" s="1"/>
  <c r="CN175" i="1"/>
  <c r="CI175" i="1" s="1"/>
  <c r="CN179" i="1"/>
  <c r="CI179" i="1" s="1"/>
  <c r="CN178" i="1"/>
  <c r="CI178" i="1" s="1"/>
  <c r="CN180" i="1"/>
  <c r="CI180" i="1" s="1"/>
  <c r="CN181" i="1"/>
  <c r="CI181" i="1" s="1"/>
  <c r="CN182" i="1"/>
  <c r="CI182" i="1" s="1"/>
  <c r="CN185" i="1"/>
  <c r="CI185" i="1" s="1"/>
  <c r="CN184" i="1"/>
  <c r="CI184" i="1" s="1"/>
  <c r="CN183" i="1"/>
  <c r="CI183" i="1" s="1"/>
  <c r="CN186" i="1"/>
  <c r="CI186" i="1" s="1"/>
  <c r="CN187" i="1"/>
  <c r="CI187" i="1" s="1"/>
  <c r="CN188" i="1"/>
  <c r="CI188" i="1" s="1"/>
  <c r="CN198" i="1"/>
  <c r="CI198" i="1" s="1"/>
  <c r="CN191" i="1"/>
  <c r="CI191" i="1" s="1"/>
  <c r="CN196" i="1"/>
  <c r="CI196" i="1" s="1"/>
  <c r="CN192" i="1"/>
  <c r="CI192" i="1" s="1"/>
  <c r="CN199" i="1"/>
  <c r="CI199" i="1" s="1"/>
  <c r="CN197" i="1"/>
  <c r="CI197" i="1" s="1"/>
  <c r="CN193" i="1"/>
  <c r="CI193" i="1" s="1"/>
  <c r="CN204" i="1"/>
  <c r="CI204" i="1" s="1"/>
  <c r="CN190" i="1"/>
  <c r="CI190" i="1" s="1"/>
  <c r="CN202" i="1"/>
  <c r="CI202" i="1" s="1"/>
  <c r="CN205" i="1"/>
  <c r="CI205" i="1" s="1"/>
  <c r="CN203" i="1"/>
  <c r="CI203" i="1" s="1"/>
  <c r="CN201" i="1"/>
  <c r="CI201" i="1" s="1"/>
  <c r="CN200" i="1"/>
  <c r="CI200" i="1" s="1"/>
  <c r="CN194" i="1"/>
  <c r="CI194" i="1" s="1"/>
  <c r="CN189" i="1"/>
  <c r="CI189" i="1" s="1"/>
  <c r="CN195" i="1"/>
  <c r="CI195" i="1" s="1"/>
  <c r="CN208" i="1"/>
  <c r="CI208" i="1" s="1"/>
  <c r="CN206" i="1"/>
  <c r="CI206" i="1" s="1"/>
  <c r="CN207" i="1"/>
  <c r="CI207" i="1" s="1"/>
  <c r="CN209" i="1"/>
  <c r="CI209" i="1" s="1"/>
  <c r="CN210" i="1"/>
  <c r="CI210" i="1" s="1"/>
  <c r="CN211" i="1"/>
  <c r="CI211" i="1" s="1"/>
  <c r="CN212" i="1"/>
  <c r="CI212" i="1" s="1"/>
  <c r="CN214" i="1"/>
  <c r="CI214" i="1" s="1"/>
  <c r="CN213" i="1"/>
  <c r="CI213" i="1" s="1"/>
  <c r="CN216" i="1"/>
  <c r="CI216" i="1" s="1"/>
  <c r="CN215" i="1"/>
  <c r="CI215" i="1" s="1"/>
  <c r="CN218" i="1"/>
  <c r="CI218" i="1" s="1"/>
  <c r="CN217" i="1"/>
  <c r="CI217" i="1" s="1"/>
  <c r="CN222" i="1"/>
  <c r="CI222" i="1" s="1"/>
  <c r="CN219" i="1"/>
  <c r="CI219" i="1" s="1"/>
  <c r="CN220" i="1"/>
  <c r="CI220" i="1" s="1"/>
  <c r="CN221" i="1"/>
  <c r="CI221" i="1" s="1"/>
  <c r="CN225" i="1"/>
  <c r="CI225" i="1" s="1"/>
  <c r="CN224" i="1"/>
  <c r="CI224" i="1" s="1"/>
  <c r="CN223" i="1"/>
  <c r="CI223" i="1" s="1"/>
  <c r="CN229" i="1"/>
  <c r="CI229" i="1" s="1"/>
  <c r="CN228" i="1"/>
  <c r="CI228" i="1" s="1"/>
  <c r="CN227" i="1"/>
  <c r="CI227" i="1" s="1"/>
  <c r="CN226" i="1"/>
  <c r="CI226" i="1" s="1"/>
  <c r="CN230" i="1"/>
  <c r="CI230" i="1" s="1"/>
  <c r="CN233" i="1"/>
  <c r="CI233" i="1" s="1"/>
  <c r="CN232" i="1"/>
  <c r="CI232" i="1" s="1"/>
  <c r="CN231" i="1"/>
  <c r="CI231" i="1" s="1"/>
  <c r="CN234" i="1"/>
  <c r="CI234" i="1" s="1"/>
  <c r="CN236" i="1"/>
  <c r="CI236" i="1" s="1"/>
  <c r="CN249" i="1"/>
  <c r="CI249" i="1" s="1"/>
  <c r="CN250" i="1"/>
  <c r="CI250" i="1" s="1"/>
  <c r="CN242" i="1"/>
  <c r="CI242" i="1" s="1"/>
  <c r="CN241" i="1"/>
  <c r="CI241" i="1" s="1"/>
  <c r="CN240" i="1"/>
  <c r="CI240" i="1" s="1"/>
  <c r="CN239" i="1"/>
  <c r="CI239" i="1" s="1"/>
  <c r="CN238" i="1"/>
  <c r="CI238" i="1" s="1"/>
  <c r="CN237" i="1"/>
  <c r="CI237" i="1" s="1"/>
  <c r="CN247" i="1"/>
  <c r="CI247" i="1" s="1"/>
  <c r="CN246" i="1"/>
  <c r="CI246" i="1" s="1"/>
  <c r="CN243" i="1"/>
  <c r="CI243" i="1" s="1"/>
  <c r="CN248" i="1"/>
  <c r="CI248" i="1" s="1"/>
  <c r="CN245" i="1"/>
  <c r="CI245" i="1" s="1"/>
  <c r="CN244" i="1"/>
  <c r="CI244" i="1" s="1"/>
  <c r="CN251" i="1"/>
  <c r="CI251" i="1" s="1"/>
  <c r="CN235" i="1"/>
  <c r="CI235" i="1" s="1"/>
  <c r="CN254" i="1"/>
  <c r="CI254" i="1" s="1"/>
  <c r="CN257" i="1"/>
  <c r="CI257" i="1" s="1"/>
  <c r="CN252" i="1"/>
  <c r="CI252" i="1" s="1"/>
  <c r="CN253" i="1"/>
  <c r="CI253" i="1" s="1"/>
  <c r="CN260" i="1"/>
  <c r="CI260" i="1" s="1"/>
  <c r="CN259" i="1"/>
  <c r="CI259" i="1" s="1"/>
  <c r="CN258" i="1"/>
  <c r="CI258" i="1" s="1"/>
  <c r="CN256" i="1"/>
  <c r="CI256" i="1" s="1"/>
  <c r="CN255" i="1"/>
  <c r="CI255" i="1" s="1"/>
  <c r="CN261" i="1"/>
  <c r="CI261" i="1" s="1"/>
  <c r="CN263" i="1"/>
  <c r="CI263" i="1" s="1"/>
  <c r="CN262" i="1"/>
  <c r="CI262" i="1" s="1"/>
  <c r="CN264" i="1"/>
  <c r="CI264" i="1" s="1"/>
  <c r="CN265" i="1"/>
  <c r="CI265" i="1" s="1"/>
  <c r="CN266" i="1"/>
  <c r="CI266" i="1" s="1"/>
  <c r="CN268" i="1"/>
  <c r="CI268" i="1" s="1"/>
  <c r="CN267" i="1"/>
  <c r="CI267" i="1" s="1"/>
  <c r="CN272" i="1"/>
  <c r="CI272" i="1" s="1"/>
  <c r="CN269" i="1"/>
  <c r="CI269" i="1" s="1"/>
  <c r="CN274" i="1"/>
  <c r="CI274" i="1" s="1"/>
  <c r="CN275" i="1"/>
  <c r="CI275" i="1" s="1"/>
  <c r="CN271" i="1"/>
  <c r="CI271" i="1" s="1"/>
  <c r="CN276" i="1"/>
  <c r="CI276" i="1" s="1"/>
  <c r="CN273" i="1"/>
  <c r="CI273" i="1" s="1"/>
  <c r="CN270" i="1"/>
  <c r="CI270" i="1" s="1"/>
  <c r="CN283" i="1"/>
  <c r="CI283" i="1" s="1"/>
  <c r="CN279" i="1"/>
  <c r="CI279" i="1" s="1"/>
  <c r="CN280" i="1"/>
  <c r="CI280" i="1" s="1"/>
  <c r="CN277" i="1"/>
  <c r="CI277" i="1" s="1"/>
  <c r="CN281" i="1"/>
  <c r="CI281" i="1" s="1"/>
  <c r="CN278" i="1"/>
  <c r="CI278" i="1" s="1"/>
  <c r="CN282" i="1"/>
  <c r="CI282" i="1" s="1"/>
  <c r="CN299" i="1"/>
  <c r="CI299" i="1" s="1"/>
  <c r="CN297" i="1"/>
  <c r="CI297" i="1" s="1"/>
  <c r="CN296" i="1"/>
  <c r="CI296" i="1" s="1"/>
  <c r="CN292" i="1"/>
  <c r="CI292" i="1" s="1"/>
  <c r="CN285" i="1"/>
  <c r="CI285" i="1" s="1"/>
  <c r="CN284" i="1"/>
  <c r="CI284" i="1" s="1"/>
  <c r="CN294" i="1"/>
  <c r="CI294" i="1" s="1"/>
  <c r="CN293" i="1"/>
  <c r="CI293" i="1" s="1"/>
  <c r="CN290" i="1"/>
  <c r="CI290" i="1" s="1"/>
  <c r="CN295" i="1"/>
  <c r="CI295" i="1" s="1"/>
  <c r="CN291" i="1"/>
  <c r="CI291" i="1" s="1"/>
  <c r="CN289" i="1"/>
  <c r="CI289" i="1" s="1"/>
  <c r="CN287" i="1"/>
  <c r="CI287" i="1" s="1"/>
  <c r="CN288" i="1"/>
  <c r="CI288" i="1" s="1"/>
  <c r="CN301" i="1"/>
  <c r="CI301" i="1" s="1"/>
  <c r="CN300" i="1"/>
  <c r="CI300" i="1" s="1"/>
  <c r="CN286" i="1"/>
  <c r="CI286" i="1" s="1"/>
  <c r="CN298" i="1"/>
  <c r="CI298" i="1" s="1"/>
  <c r="CN303" i="1"/>
  <c r="CI303" i="1" s="1"/>
  <c r="CN302" i="1"/>
  <c r="CI302" i="1" s="1"/>
  <c r="CN306" i="1"/>
  <c r="CI306" i="1" s="1"/>
  <c r="CN307" i="1"/>
  <c r="CI307" i="1" s="1"/>
  <c r="CN305" i="1"/>
  <c r="CI305" i="1" s="1"/>
  <c r="CN313" i="1"/>
  <c r="CI313" i="1" s="1"/>
  <c r="CN304" i="1"/>
  <c r="CI304" i="1" s="1"/>
  <c r="CN314" i="1"/>
  <c r="CI314" i="1" s="1"/>
  <c r="CN312" i="1"/>
  <c r="CI312" i="1" s="1"/>
  <c r="CN311" i="1"/>
  <c r="CI311" i="1" s="1"/>
  <c r="CN310" i="1"/>
  <c r="CI310" i="1" s="1"/>
  <c r="CN309" i="1"/>
  <c r="CI309" i="1" s="1"/>
  <c r="CN308" i="1"/>
  <c r="CI308" i="1" s="1"/>
  <c r="CN316" i="1"/>
  <c r="CI316" i="1" s="1"/>
  <c r="CN315" i="1"/>
  <c r="CI315" i="1" s="1"/>
  <c r="CN317" i="1"/>
  <c r="CI317" i="1" s="1"/>
  <c r="CN319" i="1"/>
  <c r="CI319" i="1" s="1"/>
  <c r="CN318" i="1"/>
  <c r="CI318" i="1" s="1"/>
  <c r="CN322" i="1"/>
  <c r="CI322" i="1" s="1"/>
  <c r="CN320" i="1"/>
  <c r="CI320" i="1" s="1"/>
  <c r="CN321" i="1"/>
  <c r="CI321" i="1" s="1"/>
  <c r="CN323" i="1"/>
  <c r="CI323" i="1" s="1"/>
  <c r="CN325" i="1"/>
  <c r="CI325" i="1" s="1"/>
  <c r="CN324" i="1"/>
  <c r="CI324" i="1" s="1"/>
  <c r="CN330" i="1"/>
  <c r="CI330" i="1" s="1"/>
  <c r="CN327" i="1"/>
  <c r="CI327" i="1" s="1"/>
  <c r="CN329" i="1"/>
  <c r="CI329" i="1" s="1"/>
  <c r="CN331" i="1"/>
  <c r="CI331" i="1" s="1"/>
  <c r="CN328" i="1"/>
  <c r="CI328" i="1" s="1"/>
  <c r="CN332" i="1"/>
  <c r="CI332" i="1" s="1"/>
  <c r="CN326" i="1"/>
  <c r="CI326" i="1" s="1"/>
  <c r="CN333" i="1"/>
  <c r="CI333" i="1" s="1"/>
  <c r="CN334" i="1"/>
  <c r="CI334" i="1" s="1"/>
  <c r="CN335" i="1"/>
  <c r="CI335" i="1" s="1"/>
  <c r="CN336" i="1"/>
  <c r="CI336" i="1" s="1"/>
  <c r="CN339" i="1"/>
  <c r="CI339" i="1" s="1"/>
  <c r="CN337" i="1"/>
  <c r="CI337" i="1" s="1"/>
  <c r="CN338" i="1"/>
  <c r="CI338" i="1" s="1"/>
  <c r="CN342" i="1"/>
  <c r="CI342" i="1" s="1"/>
  <c r="CN340" i="1"/>
  <c r="CI340" i="1" s="1"/>
  <c r="CN341" i="1"/>
  <c r="CI341" i="1" s="1"/>
  <c r="CN344" i="1"/>
  <c r="CI344" i="1" s="1"/>
  <c r="CN346" i="1"/>
  <c r="CI346" i="1" s="1"/>
  <c r="CN345" i="1"/>
  <c r="CI345" i="1" s="1"/>
  <c r="CN343" i="1"/>
  <c r="CI343"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D3455" i="31" l="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39" i="1"/>
  <c r="BZ239" i="1"/>
  <c r="CD239" i="1"/>
  <c r="BU239" i="1"/>
  <c r="CF239" i="1"/>
  <c r="CE239" i="1" s="1"/>
  <c r="CH239" i="1"/>
  <c r="BX239" i="1"/>
  <c r="CA239" i="1"/>
  <c r="BV239" i="1"/>
  <c r="BW239" i="1"/>
  <c r="BS239" i="1"/>
  <c r="CC239" i="1"/>
  <c r="BY239" i="1"/>
  <c r="CB239" i="1"/>
  <c r="BS223" i="1"/>
  <c r="CF223" i="1"/>
  <c r="CE223" i="1" s="1"/>
  <c r="CB223" i="1"/>
  <c r="BT223" i="1"/>
  <c r="BY223" i="1"/>
  <c r="BX223" i="1"/>
  <c r="CD223" i="1"/>
  <c r="BV223" i="1"/>
  <c r="BU223" i="1"/>
  <c r="CH223" i="1"/>
  <c r="BZ223" i="1"/>
  <c r="BW223" i="1"/>
  <c r="CA223" i="1"/>
  <c r="CC223" i="1"/>
  <c r="BT209" i="1"/>
  <c r="CC209" i="1"/>
  <c r="CA209" i="1"/>
  <c r="BY209" i="1"/>
  <c r="CD209" i="1"/>
  <c r="BX209" i="1"/>
  <c r="BV209" i="1"/>
  <c r="BW209" i="1"/>
  <c r="CF209" i="1"/>
  <c r="BU209" i="1"/>
  <c r="BZ209" i="1"/>
  <c r="CB209" i="1"/>
  <c r="BS209" i="1"/>
  <c r="BY199" i="1"/>
  <c r="BW199" i="1"/>
  <c r="BT199" i="1"/>
  <c r="CF199" i="1"/>
  <c r="CC199" i="1"/>
  <c r="BS199" i="1"/>
  <c r="BX199" i="1"/>
  <c r="CD199" i="1"/>
  <c r="CB199" i="1"/>
  <c r="CA199" i="1"/>
  <c r="BU199" i="1"/>
  <c r="BZ199" i="1"/>
  <c r="BV199" i="1"/>
  <c r="BW175" i="1"/>
  <c r="CB175" i="1"/>
  <c r="CH175" i="1"/>
  <c r="BU175" i="1"/>
  <c r="CD175" i="1"/>
  <c r="BZ175" i="1"/>
  <c r="CF175" i="1"/>
  <c r="CE175" i="1" s="1"/>
  <c r="BV175" i="1"/>
  <c r="CA175" i="1"/>
  <c r="BY175" i="1"/>
  <c r="BX175" i="1"/>
  <c r="CC175" i="1"/>
  <c r="BS175" i="1"/>
  <c r="BT175" i="1"/>
  <c r="CA172" i="1"/>
  <c r="CF172" i="1"/>
  <c r="CD172" i="1"/>
  <c r="BT172" i="1"/>
  <c r="CC172" i="1"/>
  <c r="BW172" i="1"/>
  <c r="BY172" i="1"/>
  <c r="BS172" i="1"/>
  <c r="BV172" i="1"/>
  <c r="BZ172" i="1"/>
  <c r="CB172" i="1"/>
  <c r="BX172" i="1"/>
  <c r="BU172" i="1"/>
  <c r="BU162" i="1"/>
  <c r="BT162" i="1"/>
  <c r="CH162" i="1"/>
  <c r="BS162" i="1"/>
  <c r="CF162" i="1"/>
  <c r="CE162" i="1" s="1"/>
  <c r="CD162" i="1"/>
  <c r="BZ162" i="1"/>
  <c r="CA162" i="1"/>
  <c r="CC162" i="1"/>
  <c r="BV162" i="1"/>
  <c r="CB162" i="1"/>
  <c r="BX162" i="1"/>
  <c r="BW162" i="1"/>
  <c r="BY162" i="1"/>
  <c r="BZ156" i="1"/>
  <c r="CB156" i="1"/>
  <c r="BW156" i="1"/>
  <c r="BU156" i="1"/>
  <c r="BX156" i="1"/>
  <c r="CA156" i="1"/>
  <c r="CF156" i="1"/>
  <c r="BT156" i="1"/>
  <c r="BY156" i="1"/>
  <c r="CC156" i="1"/>
  <c r="CD156" i="1"/>
  <c r="BS156" i="1"/>
  <c r="BV156" i="1"/>
  <c r="BX260" i="1"/>
  <c r="BV260" i="1"/>
  <c r="BZ260" i="1"/>
  <c r="CD260" i="1"/>
  <c r="BT260" i="1"/>
  <c r="BU260" i="1"/>
  <c r="CH260" i="1"/>
  <c r="CA260" i="1"/>
  <c r="BW260" i="1"/>
  <c r="CF260" i="1"/>
  <c r="CE260" i="1" s="1"/>
  <c r="CC260" i="1"/>
  <c r="BS260" i="1"/>
  <c r="CB260" i="1"/>
  <c r="BY260" i="1"/>
  <c r="CA245" i="1"/>
  <c r="CD245" i="1"/>
  <c r="BX245" i="1"/>
  <c r="BU245" i="1"/>
  <c r="CF245" i="1"/>
  <c r="CE245" i="1" s="1"/>
  <c r="CH245" i="1"/>
  <c r="CB245" i="1"/>
  <c r="CC245" i="1"/>
  <c r="BV245" i="1"/>
  <c r="BW245" i="1"/>
  <c r="BZ245" i="1"/>
  <c r="BT245" i="1"/>
  <c r="BS245" i="1"/>
  <c r="BY245" i="1"/>
  <c r="BV240" i="1"/>
  <c r="BT240" i="1"/>
  <c r="BY240" i="1"/>
  <c r="BW240" i="1"/>
  <c r="CC240" i="1"/>
  <c r="CD240" i="1"/>
  <c r="CB240" i="1"/>
  <c r="BX240" i="1"/>
  <c r="BZ240" i="1"/>
  <c r="CA240" i="1"/>
  <c r="BS240" i="1"/>
  <c r="CF240" i="1"/>
  <c r="BU240" i="1"/>
  <c r="BV232" i="1"/>
  <c r="BT232" i="1"/>
  <c r="CH232" i="1"/>
  <c r="BX232" i="1"/>
  <c r="BU232" i="1"/>
  <c r="BW232" i="1"/>
  <c r="BY232" i="1"/>
  <c r="BS232" i="1"/>
  <c r="CB232" i="1"/>
  <c r="CD232" i="1"/>
  <c r="CF232" i="1"/>
  <c r="CE232" i="1" s="1"/>
  <c r="CA232" i="1"/>
  <c r="CC232" i="1"/>
  <c r="BZ232" i="1"/>
  <c r="BV224" i="1"/>
  <c r="BW224" i="1"/>
  <c r="BY224" i="1"/>
  <c r="BS224" i="1"/>
  <c r="CC224" i="1"/>
  <c r="CD224" i="1"/>
  <c r="BX224" i="1"/>
  <c r="CA224" i="1"/>
  <c r="CB224" i="1"/>
  <c r="CF224" i="1"/>
  <c r="BT224" i="1"/>
  <c r="BU224" i="1"/>
  <c r="BZ224" i="1"/>
  <c r="BS215" i="1"/>
  <c r="BZ215" i="1"/>
  <c r="BY215" i="1"/>
  <c r="CB215" i="1"/>
  <c r="BW215" i="1"/>
  <c r="BV215" i="1"/>
  <c r="CC215" i="1"/>
  <c r="CA215" i="1"/>
  <c r="BT215" i="1"/>
  <c r="CD215" i="1"/>
  <c r="BX215" i="1"/>
  <c r="CF215" i="1"/>
  <c r="BU215" i="1"/>
  <c r="CB207" i="1"/>
  <c r="BW207" i="1"/>
  <c r="BV207" i="1"/>
  <c r="BT207" i="1"/>
  <c r="CC207" i="1"/>
  <c r="BZ207" i="1"/>
  <c r="CF207" i="1"/>
  <c r="BS207" i="1"/>
  <c r="BU207" i="1"/>
  <c r="CD207" i="1"/>
  <c r="BY207" i="1"/>
  <c r="BX207" i="1"/>
  <c r="CA207" i="1"/>
  <c r="CD203" i="1"/>
  <c r="CC203" i="1"/>
  <c r="BZ203" i="1"/>
  <c r="CA203" i="1"/>
  <c r="BV203" i="1"/>
  <c r="BU203" i="1"/>
  <c r="CF203" i="1"/>
  <c r="CE203" i="1" s="1"/>
  <c r="BS203" i="1"/>
  <c r="CB203" i="1"/>
  <c r="BW203" i="1"/>
  <c r="BX203" i="1"/>
  <c r="CH203" i="1"/>
  <c r="BY203" i="1"/>
  <c r="BT203" i="1"/>
  <c r="BW192" i="1"/>
  <c r="BV192" i="1"/>
  <c r="CA192" i="1"/>
  <c r="CB192" i="1"/>
  <c r="BY192" i="1"/>
  <c r="BS192" i="1"/>
  <c r="CC192" i="1"/>
  <c r="BT192" i="1"/>
  <c r="CF192" i="1"/>
  <c r="BU192" i="1"/>
  <c r="CD192" i="1"/>
  <c r="BX192" i="1"/>
  <c r="BZ192" i="1"/>
  <c r="BW184" i="1"/>
  <c r="CC184" i="1"/>
  <c r="CH184" i="1"/>
  <c r="BX184" i="1"/>
  <c r="BV184" i="1"/>
  <c r="CD184" i="1"/>
  <c r="CA184" i="1"/>
  <c r="BZ184" i="1"/>
  <c r="BU184" i="1"/>
  <c r="BY184" i="1"/>
  <c r="CB184" i="1"/>
  <c r="BT184" i="1"/>
  <c r="BS184" i="1"/>
  <c r="CF184" i="1"/>
  <c r="CE184" i="1" s="1"/>
  <c r="CC176" i="1"/>
  <c r="BT176" i="1"/>
  <c r="BY176" i="1"/>
  <c r="BW176" i="1"/>
  <c r="CA176" i="1"/>
  <c r="BU176" i="1"/>
  <c r="BS176" i="1"/>
  <c r="CF176" i="1"/>
  <c r="CB176" i="1"/>
  <c r="BV176" i="1"/>
  <c r="BX176" i="1"/>
  <c r="BZ176" i="1"/>
  <c r="CD176" i="1"/>
  <c r="BU163" i="1"/>
  <c r="CC163" i="1"/>
  <c r="BT163" i="1"/>
  <c r="BV163" i="1"/>
  <c r="CH163" i="1"/>
  <c r="CA163" i="1"/>
  <c r="CB163" i="1"/>
  <c r="CD163" i="1"/>
  <c r="BX163" i="1"/>
  <c r="BW163" i="1"/>
  <c r="CF163" i="1"/>
  <c r="CE163" i="1" s="1"/>
  <c r="BY163" i="1"/>
  <c r="BS163" i="1"/>
  <c r="BZ163" i="1"/>
  <c r="BT160" i="1"/>
  <c r="BZ160" i="1"/>
  <c r="CA160" i="1"/>
  <c r="BV160" i="1"/>
  <c r="CF160" i="1"/>
  <c r="CE160" i="1" s="1"/>
  <c r="BS160" i="1"/>
  <c r="CD160" i="1"/>
  <c r="BY160" i="1"/>
  <c r="CB160" i="1"/>
  <c r="BX160" i="1"/>
  <c r="BU160" i="1"/>
  <c r="CC160" i="1"/>
  <c r="BW160" i="1"/>
  <c r="CH160" i="1"/>
  <c r="CB154" i="1"/>
  <c r="CF154" i="1"/>
  <c r="CE154" i="1" s="1"/>
  <c r="BV154" i="1"/>
  <c r="BS154" i="1"/>
  <c r="BT154" i="1"/>
  <c r="BX154" i="1"/>
  <c r="BY154" i="1"/>
  <c r="BZ154" i="1"/>
  <c r="BW154" i="1"/>
  <c r="BU154" i="1"/>
  <c r="CD154" i="1"/>
  <c r="CC154" i="1"/>
  <c r="CA154" i="1"/>
  <c r="CH154" i="1"/>
  <c r="BU225" i="1"/>
  <c r="CF225" i="1"/>
  <c r="BX225" i="1"/>
  <c r="BV225" i="1"/>
  <c r="CA225" i="1"/>
  <c r="BT225" i="1"/>
  <c r="BW225" i="1"/>
  <c r="CB225" i="1"/>
  <c r="BS225" i="1"/>
  <c r="CC225" i="1"/>
  <c r="BZ225" i="1"/>
  <c r="CD225" i="1"/>
  <c r="BY225" i="1"/>
  <c r="BZ164" i="1"/>
  <c r="CA164" i="1"/>
  <c r="BU164" i="1"/>
  <c r="CD164" i="1"/>
  <c r="CF164" i="1"/>
  <c r="CE164" i="1" s="1"/>
  <c r="BS164" i="1"/>
  <c r="CB164" i="1"/>
  <c r="BV164" i="1"/>
  <c r="BX164" i="1"/>
  <c r="BT164" i="1"/>
  <c r="BW164" i="1"/>
  <c r="CH164" i="1"/>
  <c r="CC164" i="1"/>
  <c r="BY164" i="1"/>
  <c r="BT259" i="1"/>
  <c r="BZ259" i="1"/>
  <c r="CD259" i="1"/>
  <c r="BU259" i="1"/>
  <c r="CA259" i="1"/>
  <c r="BY259" i="1"/>
  <c r="BV259" i="1"/>
  <c r="CF259" i="1"/>
  <c r="CE259" i="1" s="1"/>
  <c r="BS259" i="1"/>
  <c r="CB259" i="1"/>
  <c r="BW259" i="1"/>
  <c r="BX259" i="1"/>
  <c r="CC259" i="1"/>
  <c r="CH259" i="1"/>
  <c r="CA241" i="1"/>
  <c r="BV241" i="1"/>
  <c r="BX241" i="1"/>
  <c r="BY241" i="1"/>
  <c r="CB241" i="1"/>
  <c r="BU241" i="1"/>
  <c r="BS241" i="1"/>
  <c r="BZ241" i="1"/>
  <c r="CD241" i="1"/>
  <c r="CH241" i="1"/>
  <c r="BW241" i="1"/>
  <c r="CC241" i="1"/>
  <c r="CF241" i="1"/>
  <c r="CE241" i="1" s="1"/>
  <c r="BT241" i="1"/>
  <c r="BX216" i="1"/>
  <c r="BZ216" i="1"/>
  <c r="BT216" i="1"/>
  <c r="BW216" i="1"/>
  <c r="CD216" i="1"/>
  <c r="BU216" i="1"/>
  <c r="CB216" i="1"/>
  <c r="BS216" i="1"/>
  <c r="CA216" i="1"/>
  <c r="CC216" i="1"/>
  <c r="BV216" i="1"/>
  <c r="BY216" i="1"/>
  <c r="CF216" i="1"/>
  <c r="CF205" i="1"/>
  <c r="CE205" i="1" s="1"/>
  <c r="BU205" i="1"/>
  <c r="BY205" i="1"/>
  <c r="BZ205" i="1"/>
  <c r="BV205" i="1"/>
  <c r="CC205" i="1"/>
  <c r="CD205" i="1"/>
  <c r="BS205" i="1"/>
  <c r="CH205" i="1"/>
  <c r="BT205" i="1"/>
  <c r="CA205" i="1"/>
  <c r="CB205" i="1"/>
  <c r="BX205" i="1"/>
  <c r="BW205" i="1"/>
  <c r="CD185" i="1"/>
  <c r="BX185" i="1"/>
  <c r="BU185" i="1"/>
  <c r="BY185" i="1"/>
  <c r="CC185" i="1"/>
  <c r="CA185" i="1"/>
  <c r="BT185" i="1"/>
  <c r="BV185" i="1"/>
  <c r="BW185" i="1"/>
  <c r="CF185" i="1"/>
  <c r="CB185" i="1"/>
  <c r="BZ185" i="1"/>
  <c r="BS185" i="1"/>
  <c r="BV167" i="1"/>
  <c r="BY167" i="1"/>
  <c r="BW167" i="1"/>
  <c r="BT167" i="1"/>
  <c r="CC167" i="1"/>
  <c r="BX167" i="1"/>
  <c r="BS167" i="1"/>
  <c r="CF167" i="1"/>
  <c r="CA167" i="1"/>
  <c r="CD167" i="1"/>
  <c r="BU167" i="1"/>
  <c r="CB167" i="1"/>
  <c r="BZ167" i="1"/>
  <c r="CD252" i="1"/>
  <c r="CA252" i="1"/>
  <c r="BS252" i="1"/>
  <c r="CH252" i="1"/>
  <c r="CB252" i="1"/>
  <c r="BV252" i="1"/>
  <c r="BX252" i="1"/>
  <c r="BZ252" i="1"/>
  <c r="BT252" i="1"/>
  <c r="CC252" i="1"/>
  <c r="BY252" i="1"/>
  <c r="BW252" i="1"/>
  <c r="BU252" i="1"/>
  <c r="CF252" i="1"/>
  <c r="CE252" i="1" s="1"/>
  <c r="CC243" i="1"/>
  <c r="CB243" i="1"/>
  <c r="BY243" i="1"/>
  <c r="CA243" i="1"/>
  <c r="BT243" i="1"/>
  <c r="BU243" i="1"/>
  <c r="BW243" i="1"/>
  <c r="BS243" i="1"/>
  <c r="BV243" i="1"/>
  <c r="BZ243" i="1"/>
  <c r="CD243" i="1"/>
  <c r="BX243" i="1"/>
  <c r="CH243" i="1"/>
  <c r="CF243" i="1"/>
  <c r="CE243" i="1" s="1"/>
  <c r="CF242" i="1"/>
  <c r="CE242" i="1" s="1"/>
  <c r="CD242" i="1"/>
  <c r="BS242" i="1"/>
  <c r="CB242" i="1"/>
  <c r="BX242" i="1"/>
  <c r="BY242" i="1"/>
  <c r="CH242" i="1"/>
  <c r="BZ242" i="1"/>
  <c r="BW242" i="1"/>
  <c r="CC242" i="1"/>
  <c r="CA242" i="1"/>
  <c r="BV242" i="1"/>
  <c r="BT242" i="1"/>
  <c r="BU242" i="1"/>
  <c r="BV230" i="1"/>
  <c r="BS230" i="1"/>
  <c r="BW230" i="1"/>
  <c r="BU230" i="1"/>
  <c r="BT230" i="1"/>
  <c r="CD230" i="1"/>
  <c r="BX230" i="1"/>
  <c r="CA230" i="1"/>
  <c r="CB230" i="1"/>
  <c r="CC230" i="1"/>
  <c r="CF230" i="1"/>
  <c r="BZ230" i="1"/>
  <c r="BY230" i="1"/>
  <c r="CF221" i="1"/>
  <c r="CE221" i="1" s="1"/>
  <c r="BU221" i="1"/>
  <c r="CB221" i="1"/>
  <c r="BS221" i="1"/>
  <c r="CC221" i="1"/>
  <c r="BV221" i="1"/>
  <c r="BY221" i="1"/>
  <c r="BX221" i="1"/>
  <c r="CA221" i="1"/>
  <c r="BT221" i="1"/>
  <c r="BW221" i="1"/>
  <c r="CD221" i="1"/>
  <c r="CH221" i="1"/>
  <c r="BZ221" i="1"/>
  <c r="CB213" i="1"/>
  <c r="BS213" i="1"/>
  <c r="BU213" i="1"/>
  <c r="CC213" i="1"/>
  <c r="CF213" i="1"/>
  <c r="CE213" i="1" s="1"/>
  <c r="BV213" i="1"/>
  <c r="BT213" i="1"/>
  <c r="BZ213" i="1"/>
  <c r="BY213" i="1"/>
  <c r="CA213" i="1"/>
  <c r="BW213" i="1"/>
  <c r="BX213" i="1"/>
  <c r="CH213" i="1"/>
  <c r="CD213" i="1"/>
  <c r="BX208" i="1"/>
  <c r="BV208" i="1"/>
  <c r="CA208" i="1"/>
  <c r="BU208" i="1"/>
  <c r="CC208" i="1"/>
  <c r="BY208" i="1"/>
  <c r="BW208" i="1"/>
  <c r="CB208" i="1"/>
  <c r="CH208" i="1"/>
  <c r="CF208" i="1"/>
  <c r="CE208" i="1" s="1"/>
  <c r="CD208" i="1"/>
  <c r="BT208" i="1"/>
  <c r="BS208" i="1"/>
  <c r="BZ208" i="1"/>
  <c r="BT202" i="1"/>
  <c r="CC202" i="1"/>
  <c r="BW202" i="1"/>
  <c r="BY202" i="1"/>
  <c r="CH202" i="1"/>
  <c r="BU202" i="1"/>
  <c r="CA202" i="1"/>
  <c r="CB202" i="1"/>
  <c r="CD202" i="1"/>
  <c r="BS202" i="1"/>
  <c r="BZ202" i="1"/>
  <c r="BV202" i="1"/>
  <c r="CF202" i="1"/>
  <c r="CE202" i="1" s="1"/>
  <c r="BX202" i="1"/>
  <c r="BW191" i="1"/>
  <c r="CF191" i="1"/>
  <c r="BS191" i="1"/>
  <c r="BT191" i="1"/>
  <c r="BV191" i="1"/>
  <c r="CA191" i="1"/>
  <c r="BU191" i="1"/>
  <c r="CB191" i="1"/>
  <c r="CD191" i="1"/>
  <c r="BY191" i="1"/>
  <c r="BZ191" i="1"/>
  <c r="BX191" i="1"/>
  <c r="CC191" i="1"/>
  <c r="BT182" i="1"/>
  <c r="CA182" i="1"/>
  <c r="CB182" i="1"/>
  <c r="BU182" i="1"/>
  <c r="BV182" i="1"/>
  <c r="BS182" i="1"/>
  <c r="BX182" i="1"/>
  <c r="BY182" i="1"/>
  <c r="CH182" i="1"/>
  <c r="CD182" i="1"/>
  <c r="CC182" i="1"/>
  <c r="CF182" i="1"/>
  <c r="CE182" i="1" s="1"/>
  <c r="BZ182" i="1"/>
  <c r="BW182" i="1"/>
  <c r="CH170" i="1"/>
  <c r="BV170" i="1"/>
  <c r="BW170" i="1"/>
  <c r="BY170" i="1"/>
  <c r="BS170" i="1"/>
  <c r="CF170" i="1"/>
  <c r="CE170" i="1" s="1"/>
  <c r="CA170" i="1"/>
  <c r="CD170" i="1"/>
  <c r="BZ170" i="1"/>
  <c r="CC170" i="1"/>
  <c r="BU170" i="1"/>
  <c r="CB170" i="1"/>
  <c r="BX170" i="1"/>
  <c r="BT170" i="1"/>
  <c r="BY161" i="1"/>
  <c r="CA161" i="1"/>
  <c r="BU161" i="1"/>
  <c r="CD161" i="1"/>
  <c r="CF161" i="1"/>
  <c r="CE161" i="1" s="1"/>
  <c r="BS161" i="1"/>
  <c r="CB161" i="1"/>
  <c r="BV161" i="1"/>
  <c r="BX161" i="1"/>
  <c r="BT161" i="1"/>
  <c r="CC161" i="1"/>
  <c r="BZ161" i="1"/>
  <c r="BW161" i="1"/>
  <c r="BV166" i="1"/>
  <c r="BZ166" i="1"/>
  <c r="BW166" i="1"/>
  <c r="CB166" i="1"/>
  <c r="BY166" i="1"/>
  <c r="BT166" i="1"/>
  <c r="CA166" i="1"/>
  <c r="CD166" i="1"/>
  <c r="BS166" i="1"/>
  <c r="CF166" i="1"/>
  <c r="BX166" i="1"/>
  <c r="CC166" i="1"/>
  <c r="BU166" i="1"/>
  <c r="CC152" i="1"/>
  <c r="BW152" i="1"/>
  <c r="BZ152" i="1"/>
  <c r="BV152" i="1"/>
  <c r="BU152" i="1"/>
  <c r="BX152" i="1"/>
  <c r="CA152" i="1"/>
  <c r="CB152" i="1"/>
  <c r="CD152" i="1"/>
  <c r="BT152" i="1"/>
  <c r="BY152" i="1"/>
  <c r="CF152" i="1"/>
  <c r="BS152" i="1"/>
  <c r="BV244" i="1"/>
  <c r="CC244" i="1"/>
  <c r="BW244" i="1"/>
  <c r="BZ244" i="1"/>
  <c r="BT244" i="1"/>
  <c r="CD244" i="1"/>
  <c r="CA244" i="1"/>
  <c r="BY244" i="1"/>
  <c r="BX244" i="1"/>
  <c r="BS244" i="1"/>
  <c r="BU244" i="1"/>
  <c r="CH244" i="1"/>
  <c r="CB244" i="1"/>
  <c r="CF244" i="1"/>
  <c r="CE244" i="1" s="1"/>
  <c r="CB201" i="1"/>
  <c r="CC201" i="1"/>
  <c r="BX201" i="1"/>
  <c r="BZ201" i="1"/>
  <c r="CA201" i="1"/>
  <c r="BY201" i="1"/>
  <c r="CD201" i="1"/>
  <c r="BW201" i="1"/>
  <c r="BS201" i="1"/>
  <c r="CF201" i="1"/>
  <c r="BT201" i="1"/>
  <c r="BV201" i="1"/>
  <c r="BU201" i="1"/>
  <c r="BX253" i="1"/>
  <c r="BY253" i="1"/>
  <c r="BS253" i="1"/>
  <c r="CC253" i="1"/>
  <c r="BW253" i="1"/>
  <c r="BV253" i="1"/>
  <c r="CD253" i="1"/>
  <c r="BU253" i="1"/>
  <c r="CA253" i="1"/>
  <c r="BT253" i="1"/>
  <c r="CB253" i="1"/>
  <c r="CF253" i="1"/>
  <c r="BZ253" i="1"/>
  <c r="BW233" i="1"/>
  <c r="BV233" i="1"/>
  <c r="CB233" i="1"/>
  <c r="BX233" i="1"/>
  <c r="CD233" i="1"/>
  <c r="BU233" i="1"/>
  <c r="BS233" i="1"/>
  <c r="CF233" i="1"/>
  <c r="BZ233" i="1"/>
  <c r="CC233" i="1"/>
  <c r="CA233" i="1"/>
  <c r="BY233" i="1"/>
  <c r="BT233" i="1"/>
  <c r="BS206" i="1"/>
  <c r="CF206" i="1"/>
  <c r="CE206" i="1" s="1"/>
  <c r="BV206" i="1"/>
  <c r="CB206" i="1"/>
  <c r="CH206" i="1"/>
  <c r="BX206" i="1"/>
  <c r="BZ206" i="1"/>
  <c r="CA206" i="1"/>
  <c r="CC206" i="1"/>
  <c r="BY206" i="1"/>
  <c r="BW206" i="1"/>
  <c r="BU206" i="1"/>
  <c r="BT206" i="1"/>
  <c r="CD206" i="1"/>
  <c r="BT196" i="1"/>
  <c r="BY196" i="1"/>
  <c r="CC196" i="1"/>
  <c r="CH196" i="1"/>
  <c r="BS196" i="1"/>
  <c r="BW196" i="1"/>
  <c r="BX196" i="1"/>
  <c r="BV196" i="1"/>
  <c r="BU196" i="1"/>
  <c r="BZ196" i="1"/>
  <c r="CD196" i="1"/>
  <c r="CA196" i="1"/>
  <c r="CB196" i="1"/>
  <c r="CF196" i="1"/>
  <c r="CE196" i="1" s="1"/>
  <c r="BX177" i="1"/>
  <c r="CH177" i="1"/>
  <c r="BT177" i="1"/>
  <c r="CC177" i="1"/>
  <c r="BW177" i="1"/>
  <c r="BY177" i="1"/>
  <c r="CA177" i="1"/>
  <c r="CD177" i="1"/>
  <c r="CF177" i="1"/>
  <c r="CE177" i="1" s="1"/>
  <c r="BS177" i="1"/>
  <c r="CB177" i="1"/>
  <c r="BV177" i="1"/>
  <c r="BZ177" i="1"/>
  <c r="BU177" i="1"/>
  <c r="BZ149" i="1"/>
  <c r="CD149" i="1"/>
  <c r="CC149" i="1"/>
  <c r="BX149" i="1"/>
  <c r="CA149" i="1"/>
  <c r="BS149" i="1"/>
  <c r="BV149" i="1"/>
  <c r="BU149" i="1"/>
  <c r="BY149" i="1"/>
  <c r="BW149" i="1"/>
  <c r="CB149" i="1"/>
  <c r="CF149" i="1"/>
  <c r="BT149" i="1"/>
  <c r="BV261" i="1"/>
  <c r="BS261" i="1"/>
  <c r="BY261" i="1"/>
  <c r="BW261" i="1"/>
  <c r="CC261" i="1"/>
  <c r="CH261" i="1"/>
  <c r="BT261" i="1"/>
  <c r="CF261" i="1"/>
  <c r="CE261" i="1" s="1"/>
  <c r="BZ261" i="1"/>
  <c r="CB261" i="1"/>
  <c r="BU261" i="1"/>
  <c r="BX261" i="1"/>
  <c r="CD261" i="1"/>
  <c r="CA261" i="1"/>
  <c r="BV257" i="1"/>
  <c r="BT257" i="1"/>
  <c r="BY257" i="1"/>
  <c r="CF257" i="1"/>
  <c r="CC257" i="1"/>
  <c r="CA257" i="1"/>
  <c r="BZ257" i="1"/>
  <c r="BS257" i="1"/>
  <c r="BU257" i="1"/>
  <c r="CD257" i="1"/>
  <c r="BX257" i="1"/>
  <c r="BW257" i="1"/>
  <c r="CB257" i="1"/>
  <c r="CF246" i="1"/>
  <c r="CE246" i="1" s="1"/>
  <c r="CB246" i="1"/>
  <c r="BX246" i="1"/>
  <c r="CH246" i="1"/>
  <c r="CA246" i="1"/>
  <c r="BV246" i="1"/>
  <c r="BS246" i="1"/>
  <c r="BY246" i="1"/>
  <c r="CC246" i="1"/>
  <c r="BT246" i="1"/>
  <c r="BU246" i="1"/>
  <c r="BZ246" i="1"/>
  <c r="BW246" i="1"/>
  <c r="CD246" i="1"/>
  <c r="CC250" i="1"/>
  <c r="CF250" i="1"/>
  <c r="CE250" i="1" s="1"/>
  <c r="BW250" i="1"/>
  <c r="BY250" i="1"/>
  <c r="BZ250" i="1"/>
  <c r="BU250" i="1"/>
  <c r="BV250" i="1"/>
  <c r="BX250" i="1"/>
  <c r="CH250" i="1"/>
  <c r="CD250" i="1"/>
  <c r="CA250" i="1"/>
  <c r="BT250" i="1"/>
  <c r="CB250" i="1"/>
  <c r="BS250" i="1"/>
  <c r="CC226" i="1"/>
  <c r="BX226" i="1"/>
  <c r="BZ226" i="1"/>
  <c r="CA226" i="1"/>
  <c r="BW226" i="1"/>
  <c r="CD226" i="1"/>
  <c r="BY226" i="1"/>
  <c r="CB226" i="1"/>
  <c r="BV226" i="1"/>
  <c r="CF226" i="1"/>
  <c r="BU226" i="1"/>
  <c r="BT226" i="1"/>
  <c r="BS226" i="1"/>
  <c r="BX220" i="1"/>
  <c r="CB220" i="1"/>
  <c r="BY220" i="1"/>
  <c r="BU220" i="1"/>
  <c r="CA220" i="1"/>
  <c r="CC220" i="1"/>
  <c r="BS220" i="1"/>
  <c r="CD220" i="1"/>
  <c r="BT220" i="1"/>
  <c r="CF220" i="1"/>
  <c r="CE220" i="1" s="1"/>
  <c r="BV220" i="1"/>
  <c r="BW220" i="1"/>
  <c r="BZ220" i="1"/>
  <c r="CH220" i="1"/>
  <c r="CH214" i="1"/>
  <c r="BS214" i="1"/>
  <c r="BY214" i="1"/>
  <c r="BW214" i="1"/>
  <c r="CC214" i="1"/>
  <c r="BT214" i="1"/>
  <c r="BU214" i="1"/>
  <c r="BZ214" i="1"/>
  <c r="BV214" i="1"/>
  <c r="CD214" i="1"/>
  <c r="BX214" i="1"/>
  <c r="CA214" i="1"/>
  <c r="CF214" i="1"/>
  <c r="CE214" i="1" s="1"/>
  <c r="CB214" i="1"/>
  <c r="BV195" i="1"/>
  <c r="BX195" i="1"/>
  <c r="CH195" i="1"/>
  <c r="BT195" i="1"/>
  <c r="CC195" i="1"/>
  <c r="BW195" i="1"/>
  <c r="BU195" i="1"/>
  <c r="CA195" i="1"/>
  <c r="BY195" i="1"/>
  <c r="CD195" i="1"/>
  <c r="CF195" i="1"/>
  <c r="CE195" i="1" s="1"/>
  <c r="BZ195" i="1"/>
  <c r="CB195" i="1"/>
  <c r="BS195" i="1"/>
  <c r="BT190" i="1"/>
  <c r="BV190" i="1"/>
  <c r="CD190" i="1"/>
  <c r="BU190" i="1"/>
  <c r="BZ190" i="1"/>
  <c r="CA190" i="1"/>
  <c r="BW190" i="1"/>
  <c r="CF190" i="1"/>
  <c r="BX190" i="1"/>
  <c r="BY190" i="1"/>
  <c r="CC190" i="1"/>
  <c r="CB190" i="1"/>
  <c r="BS190" i="1"/>
  <c r="BY198" i="1"/>
  <c r="BZ198" i="1"/>
  <c r="BV198" i="1"/>
  <c r="CD198" i="1"/>
  <c r="BU198" i="1"/>
  <c r="CH198" i="1"/>
  <c r="CF198" i="1"/>
  <c r="CE198" i="1" s="1"/>
  <c r="BT198" i="1"/>
  <c r="BW198" i="1"/>
  <c r="CB198" i="1"/>
  <c r="BS198" i="1"/>
  <c r="CC198" i="1"/>
  <c r="CA198" i="1"/>
  <c r="BX198" i="1"/>
  <c r="BZ181" i="1"/>
  <c r="BS181" i="1"/>
  <c r="CA181" i="1"/>
  <c r="BT181" i="1"/>
  <c r="BU181" i="1"/>
  <c r="BY181" i="1"/>
  <c r="CC181" i="1"/>
  <c r="CB181" i="1"/>
  <c r="CF181" i="1"/>
  <c r="CE181" i="1" s="1"/>
  <c r="BV181" i="1"/>
  <c r="CD181" i="1"/>
  <c r="BX181" i="1"/>
  <c r="CH181" i="1"/>
  <c r="BW181" i="1"/>
  <c r="CA174" i="1"/>
  <c r="BY174" i="1"/>
  <c r="BX174" i="1"/>
  <c r="BU174" i="1"/>
  <c r="BT174" i="1"/>
  <c r="BW174" i="1"/>
  <c r="BV174" i="1"/>
  <c r="BZ174" i="1"/>
  <c r="CF174" i="1"/>
  <c r="CC174" i="1"/>
  <c r="CB174" i="1"/>
  <c r="CD174" i="1"/>
  <c r="BS174" i="1"/>
  <c r="BV158" i="1"/>
  <c r="CF158" i="1"/>
  <c r="CE158" i="1" s="1"/>
  <c r="CH158" i="1"/>
  <c r="CB158" i="1"/>
  <c r="CC158" i="1"/>
  <c r="BX158" i="1"/>
  <c r="BZ158" i="1"/>
  <c r="CD158" i="1"/>
  <c r="BY158" i="1"/>
  <c r="BW158" i="1"/>
  <c r="BU158" i="1"/>
  <c r="BS158" i="1"/>
  <c r="BT158" i="1"/>
  <c r="CA158" i="1"/>
  <c r="BU165" i="1"/>
  <c r="CB165" i="1"/>
  <c r="BV165" i="1"/>
  <c r="BS165" i="1"/>
  <c r="BW165" i="1"/>
  <c r="BZ165" i="1"/>
  <c r="CF165" i="1"/>
  <c r="CA165" i="1"/>
  <c r="BX165" i="1"/>
  <c r="CD165" i="1"/>
  <c r="CC165" i="1"/>
  <c r="BT165" i="1"/>
  <c r="BY165" i="1"/>
  <c r="BZ153" i="1"/>
  <c r="BY153" i="1"/>
  <c r="CF153" i="1"/>
  <c r="CD153" i="1"/>
  <c r="BV153" i="1"/>
  <c r="BW153" i="1"/>
  <c r="BS153" i="1"/>
  <c r="BT153" i="1"/>
  <c r="CA153" i="1"/>
  <c r="CB153" i="1"/>
  <c r="BX153" i="1"/>
  <c r="BU153" i="1"/>
  <c r="CC153" i="1"/>
  <c r="BT231" i="1"/>
  <c r="BY231" i="1"/>
  <c r="CA231" i="1"/>
  <c r="BU231" i="1"/>
  <c r="BW231" i="1"/>
  <c r="CF231" i="1"/>
  <c r="CD231" i="1"/>
  <c r="BZ231" i="1"/>
  <c r="BV231" i="1"/>
  <c r="BX231" i="1"/>
  <c r="BS231" i="1"/>
  <c r="CC231" i="1"/>
  <c r="CB231" i="1"/>
  <c r="BW183" i="1"/>
  <c r="BV183" i="1"/>
  <c r="BS183" i="1"/>
  <c r="BY183" i="1"/>
  <c r="BT183" i="1"/>
  <c r="CC183" i="1"/>
  <c r="BZ183" i="1"/>
  <c r="BX183" i="1"/>
  <c r="CA183" i="1"/>
  <c r="CB183" i="1"/>
  <c r="BU183" i="1"/>
  <c r="CD183" i="1"/>
  <c r="CF183" i="1"/>
  <c r="BV255" i="1"/>
  <c r="CF255" i="1"/>
  <c r="BS255" i="1"/>
  <c r="BT255" i="1"/>
  <c r="CB255" i="1"/>
  <c r="BZ255" i="1"/>
  <c r="BW255" i="1"/>
  <c r="CC255" i="1"/>
  <c r="BU255" i="1"/>
  <c r="CA255" i="1"/>
  <c r="CD255" i="1"/>
  <c r="BY255" i="1"/>
  <c r="BX255" i="1"/>
  <c r="BZ254" i="1"/>
  <c r="BX254" i="1"/>
  <c r="CF254" i="1"/>
  <c r="CC254" i="1"/>
  <c r="BT254" i="1"/>
  <c r="CA254" i="1"/>
  <c r="BS254" i="1"/>
  <c r="CB254" i="1"/>
  <c r="CD254" i="1"/>
  <c r="BW254" i="1"/>
  <c r="BV254" i="1"/>
  <c r="BU254" i="1"/>
  <c r="BY254" i="1"/>
  <c r="CH247" i="1"/>
  <c r="CB247" i="1"/>
  <c r="CF247" i="1"/>
  <c r="CE247" i="1" s="1"/>
  <c r="CD247" i="1"/>
  <c r="BW247" i="1"/>
  <c r="CC247" i="1"/>
  <c r="BT247" i="1"/>
  <c r="BZ247" i="1"/>
  <c r="BS247" i="1"/>
  <c r="BY247" i="1"/>
  <c r="BU247" i="1"/>
  <c r="CA247" i="1"/>
  <c r="BV247" i="1"/>
  <c r="BX247" i="1"/>
  <c r="BZ249" i="1"/>
  <c r="CD249" i="1"/>
  <c r="CC249" i="1"/>
  <c r="CA249" i="1"/>
  <c r="CF249" i="1"/>
  <c r="BV249" i="1"/>
  <c r="BU249" i="1"/>
  <c r="BS249" i="1"/>
  <c r="CB249" i="1"/>
  <c r="BY249" i="1"/>
  <c r="BT249" i="1"/>
  <c r="BW249" i="1"/>
  <c r="BX249" i="1"/>
  <c r="BX227" i="1"/>
  <c r="CC227" i="1"/>
  <c r="BT227" i="1"/>
  <c r="BV227" i="1"/>
  <c r="BW227" i="1"/>
  <c r="BY227" i="1"/>
  <c r="BZ227" i="1"/>
  <c r="CF227" i="1"/>
  <c r="CE227" i="1" s="1"/>
  <c r="BS227" i="1"/>
  <c r="CB227" i="1"/>
  <c r="CD227" i="1"/>
  <c r="BU227" i="1"/>
  <c r="CH227" i="1"/>
  <c r="CA227" i="1"/>
  <c r="CC219" i="1"/>
  <c r="BV219" i="1"/>
  <c r="BS219" i="1"/>
  <c r="CA219" i="1"/>
  <c r="CB219" i="1"/>
  <c r="BW219" i="1"/>
  <c r="BT219" i="1"/>
  <c r="CF219" i="1"/>
  <c r="CE219" i="1" s="1"/>
  <c r="BZ219" i="1"/>
  <c r="BU219" i="1"/>
  <c r="CH219" i="1"/>
  <c r="CD219" i="1"/>
  <c r="BY219" i="1"/>
  <c r="BX219" i="1"/>
  <c r="BV212" i="1"/>
  <c r="BZ212" i="1"/>
  <c r="BX212" i="1"/>
  <c r="BU212" i="1"/>
  <c r="BT212" i="1"/>
  <c r="BS212" i="1"/>
  <c r="CF212" i="1"/>
  <c r="CA212" i="1"/>
  <c r="CB212" i="1"/>
  <c r="BY212" i="1"/>
  <c r="CC212" i="1"/>
  <c r="BW212" i="1"/>
  <c r="CD212" i="1"/>
  <c r="CD189" i="1"/>
  <c r="BX189" i="1"/>
  <c r="BT189" i="1"/>
  <c r="CF189" i="1"/>
  <c r="CA189" i="1"/>
  <c r="BU189" i="1"/>
  <c r="BS189" i="1"/>
  <c r="CB189" i="1"/>
  <c r="BY189" i="1"/>
  <c r="CC189" i="1"/>
  <c r="BZ189" i="1"/>
  <c r="BV189" i="1"/>
  <c r="BW189" i="1"/>
  <c r="CD204" i="1"/>
  <c r="CA204" i="1"/>
  <c r="BT204" i="1"/>
  <c r="CF204" i="1"/>
  <c r="CE204" i="1" s="1"/>
  <c r="BV204" i="1"/>
  <c r="CH204" i="1"/>
  <c r="BX204" i="1"/>
  <c r="BU204" i="1"/>
  <c r="BY204" i="1"/>
  <c r="CC204" i="1"/>
  <c r="BZ204" i="1"/>
  <c r="CB204" i="1"/>
  <c r="BS204" i="1"/>
  <c r="BW204" i="1"/>
  <c r="BY188" i="1"/>
  <c r="BZ188" i="1"/>
  <c r="BT188" i="1"/>
  <c r="BW188" i="1"/>
  <c r="CD188" i="1"/>
  <c r="BU188" i="1"/>
  <c r="CF188" i="1"/>
  <c r="BX188" i="1"/>
  <c r="CB188" i="1"/>
  <c r="CC188" i="1"/>
  <c r="BS188" i="1"/>
  <c r="BV188" i="1"/>
  <c r="CA188" i="1"/>
  <c r="CC180" i="1"/>
  <c r="BV180" i="1"/>
  <c r="BY180" i="1"/>
  <c r="BX180" i="1"/>
  <c r="BZ180" i="1"/>
  <c r="BS180" i="1"/>
  <c r="BT180" i="1"/>
  <c r="BU180" i="1"/>
  <c r="CD180" i="1"/>
  <c r="BW180" i="1"/>
  <c r="CF180" i="1"/>
  <c r="CB180" i="1"/>
  <c r="CA180" i="1"/>
  <c r="BZ169" i="1"/>
  <c r="CA169" i="1"/>
  <c r="CC169" i="1"/>
  <c r="CB169" i="1"/>
  <c r="BU169" i="1"/>
  <c r="BS169" i="1"/>
  <c r="CF169" i="1"/>
  <c r="BX169" i="1"/>
  <c r="BT169" i="1"/>
  <c r="BW169" i="1"/>
  <c r="CD169" i="1"/>
  <c r="BV169" i="1"/>
  <c r="BY169" i="1"/>
  <c r="BY159" i="1"/>
  <c r="CC159" i="1"/>
  <c r="BT159" i="1"/>
  <c r="CA159" i="1"/>
  <c r="CD159" i="1"/>
  <c r="BZ159" i="1"/>
  <c r="BX159" i="1"/>
  <c r="CB159" i="1"/>
  <c r="CF159" i="1"/>
  <c r="BV159" i="1"/>
  <c r="BU159" i="1"/>
  <c r="BS159" i="1"/>
  <c r="BW159" i="1"/>
  <c r="CA155" i="1"/>
  <c r="BV155" i="1"/>
  <c r="BS155" i="1"/>
  <c r="CD155" i="1"/>
  <c r="BX155" i="1"/>
  <c r="BT155" i="1"/>
  <c r="BY155" i="1"/>
  <c r="CB155" i="1"/>
  <c r="CF155" i="1"/>
  <c r="BW155" i="1"/>
  <c r="BZ155" i="1"/>
  <c r="BU155" i="1"/>
  <c r="CC155" i="1"/>
  <c r="BZ150" i="1"/>
  <c r="BX150" i="1"/>
  <c r="BW150" i="1"/>
  <c r="CA150" i="1"/>
  <c r="BT150" i="1"/>
  <c r="CD150" i="1"/>
  <c r="BS150" i="1"/>
  <c r="BV150" i="1"/>
  <c r="CF150" i="1"/>
  <c r="CE150" i="1" s="1"/>
  <c r="CH150" i="1"/>
  <c r="CB150" i="1"/>
  <c r="BY150" i="1"/>
  <c r="BU150" i="1"/>
  <c r="CC150" i="1"/>
  <c r="CH218" i="1"/>
  <c r="CF218" i="1"/>
  <c r="CE218" i="1" s="1"/>
  <c r="BY218" i="1"/>
  <c r="CA218" i="1"/>
  <c r="BW218" i="1"/>
  <c r="CC218" i="1"/>
  <c r="BU218" i="1"/>
  <c r="CD218" i="1"/>
  <c r="BX218" i="1"/>
  <c r="BZ218" i="1"/>
  <c r="CB218" i="1"/>
  <c r="BS218" i="1"/>
  <c r="BV218" i="1"/>
  <c r="BT218" i="1"/>
  <c r="CD248" i="1"/>
  <c r="CA248" i="1"/>
  <c r="BT248" i="1"/>
  <c r="CC248" i="1"/>
  <c r="CF248" i="1"/>
  <c r="BU248" i="1"/>
  <c r="BS248" i="1"/>
  <c r="BV248" i="1"/>
  <c r="BY248" i="1"/>
  <c r="BW248" i="1"/>
  <c r="BZ248" i="1"/>
  <c r="CB248" i="1"/>
  <c r="BX248" i="1"/>
  <c r="CC256" i="1"/>
  <c r="BW256" i="1"/>
  <c r="BS256" i="1"/>
  <c r="BT256" i="1"/>
  <c r="CF256" i="1"/>
  <c r="CE256" i="1" s="1"/>
  <c r="BV256" i="1"/>
  <c r="CA256" i="1"/>
  <c r="BX256" i="1"/>
  <c r="BU256" i="1"/>
  <c r="BY256" i="1"/>
  <c r="CH256" i="1"/>
  <c r="CD256" i="1"/>
  <c r="BZ256" i="1"/>
  <c r="CB256" i="1"/>
  <c r="BW235" i="1"/>
  <c r="CD235" i="1"/>
  <c r="BX235" i="1"/>
  <c r="CC235" i="1"/>
  <c r="CA235" i="1"/>
  <c r="BT235" i="1"/>
  <c r="BV235" i="1"/>
  <c r="BS235" i="1"/>
  <c r="BZ235" i="1"/>
  <c r="CF235" i="1"/>
  <c r="BU235" i="1"/>
  <c r="BY235" i="1"/>
  <c r="CB235" i="1"/>
  <c r="CC237" i="1"/>
  <c r="CB237" i="1"/>
  <c r="BV237" i="1"/>
  <c r="CA237" i="1"/>
  <c r="BU237" i="1"/>
  <c r="BT237" i="1"/>
  <c r="BW237" i="1"/>
  <c r="CD237" i="1"/>
  <c r="CF237" i="1"/>
  <c r="BS237" i="1"/>
  <c r="BX237" i="1"/>
  <c r="BY237" i="1"/>
  <c r="BZ237" i="1"/>
  <c r="BS236" i="1"/>
  <c r="BU236" i="1"/>
  <c r="BX236" i="1"/>
  <c r="BT236" i="1"/>
  <c r="CH236" i="1"/>
  <c r="BW236" i="1"/>
  <c r="CC236" i="1"/>
  <c r="BY236" i="1"/>
  <c r="BZ236" i="1"/>
  <c r="CD236" i="1"/>
  <c r="CB236" i="1"/>
  <c r="CF236" i="1"/>
  <c r="CE236" i="1" s="1"/>
  <c r="CA236" i="1"/>
  <c r="BV236" i="1"/>
  <c r="CA228" i="1"/>
  <c r="BW228" i="1"/>
  <c r="BY228" i="1"/>
  <c r="CD228" i="1"/>
  <c r="CF228" i="1"/>
  <c r="CE228" i="1" s="1"/>
  <c r="CC228" i="1"/>
  <c r="BZ228" i="1"/>
  <c r="BT228" i="1"/>
  <c r="BV228" i="1"/>
  <c r="CB228" i="1"/>
  <c r="BX228" i="1"/>
  <c r="BU228" i="1"/>
  <c r="BS228" i="1"/>
  <c r="BT222" i="1"/>
  <c r="BV222" i="1"/>
  <c r="CA222" i="1"/>
  <c r="CC222" i="1"/>
  <c r="BZ222" i="1"/>
  <c r="CD222" i="1"/>
  <c r="CF222" i="1"/>
  <c r="BS222" i="1"/>
  <c r="BX222" i="1"/>
  <c r="BY222" i="1"/>
  <c r="BU222" i="1"/>
  <c r="CB222" i="1"/>
  <c r="BW222" i="1"/>
  <c r="CA211" i="1"/>
  <c r="CD211" i="1"/>
  <c r="BZ211" i="1"/>
  <c r="BS211" i="1"/>
  <c r="CB211" i="1"/>
  <c r="BW211" i="1"/>
  <c r="BX211" i="1"/>
  <c r="BU211" i="1"/>
  <c r="BT211" i="1"/>
  <c r="CC211" i="1"/>
  <c r="BY211" i="1"/>
  <c r="BV211" i="1"/>
  <c r="CF211" i="1"/>
  <c r="CH194" i="1"/>
  <c r="BT194" i="1"/>
  <c r="BY194" i="1"/>
  <c r="BW194" i="1"/>
  <c r="CC194" i="1"/>
  <c r="CA194" i="1"/>
  <c r="CF194" i="1"/>
  <c r="CE194" i="1" s="1"/>
  <c r="CD194" i="1"/>
  <c r="BU194" i="1"/>
  <c r="BS194" i="1"/>
  <c r="BX194" i="1"/>
  <c r="CB194" i="1"/>
  <c r="BV194" i="1"/>
  <c r="BZ194" i="1"/>
  <c r="CB193" i="1"/>
  <c r="BV193" i="1"/>
  <c r="CF193" i="1"/>
  <c r="BZ193" i="1"/>
  <c r="BT193" i="1"/>
  <c r="CC193" i="1"/>
  <c r="BX193" i="1"/>
  <c r="BW193" i="1"/>
  <c r="CA193" i="1"/>
  <c r="BU193" i="1"/>
  <c r="BS193" i="1"/>
  <c r="BY193" i="1"/>
  <c r="CD193" i="1"/>
  <c r="CF187" i="1"/>
  <c r="CE187" i="1" s="1"/>
  <c r="CC187" i="1"/>
  <c r="BZ187" i="1"/>
  <c r="CB187" i="1"/>
  <c r="CD187" i="1"/>
  <c r="BW187" i="1"/>
  <c r="BV187" i="1"/>
  <c r="CH187" i="1"/>
  <c r="BS187" i="1"/>
  <c r="BU187" i="1"/>
  <c r="CA187" i="1"/>
  <c r="BY187" i="1"/>
  <c r="BT187" i="1"/>
  <c r="BX187" i="1"/>
  <c r="BV178" i="1"/>
  <c r="BT178" i="1"/>
  <c r="BZ178" i="1"/>
  <c r="BX178" i="1"/>
  <c r="BU178" i="1"/>
  <c r="CA178" i="1"/>
  <c r="CC178" i="1"/>
  <c r="BW178" i="1"/>
  <c r="CB178" i="1"/>
  <c r="BS178" i="1"/>
  <c r="BY178" i="1"/>
  <c r="CD178" i="1"/>
  <c r="CF178" i="1"/>
  <c r="CA171" i="1"/>
  <c r="CB171" i="1"/>
  <c r="BV171" i="1"/>
  <c r="BX171" i="1"/>
  <c r="BU171" i="1"/>
  <c r="CH171" i="1"/>
  <c r="BZ171" i="1"/>
  <c r="BW171" i="1"/>
  <c r="CD171" i="1"/>
  <c r="BS171" i="1"/>
  <c r="CC171" i="1"/>
  <c r="BY171" i="1"/>
  <c r="CF171" i="1"/>
  <c r="CE171" i="1" s="1"/>
  <c r="BT171" i="1"/>
  <c r="BS157" i="1"/>
  <c r="BU157" i="1"/>
  <c r="BT157" i="1"/>
  <c r="BZ157" i="1"/>
  <c r="CD157" i="1"/>
  <c r="CC157" i="1"/>
  <c r="BX157" i="1"/>
  <c r="CA157" i="1"/>
  <c r="BW157" i="1"/>
  <c r="BY157" i="1"/>
  <c r="BV157" i="1"/>
  <c r="CB157" i="1"/>
  <c r="CF157" i="1"/>
  <c r="BX151" i="1"/>
  <c r="BU151" i="1"/>
  <c r="BS151" i="1"/>
  <c r="CC151" i="1"/>
  <c r="BW151" i="1"/>
  <c r="BT151" i="1"/>
  <c r="CD151" i="1"/>
  <c r="CF151" i="1"/>
  <c r="CB151" i="1"/>
  <c r="BV151" i="1"/>
  <c r="CA151" i="1"/>
  <c r="BY151" i="1"/>
  <c r="BZ151" i="1"/>
  <c r="BX258" i="1"/>
  <c r="CH258" i="1"/>
  <c r="BY258" i="1"/>
  <c r="CF258" i="1"/>
  <c r="CE258" i="1" s="1"/>
  <c r="CB258" i="1"/>
  <c r="BW258" i="1"/>
  <c r="CC258" i="1"/>
  <c r="BZ258" i="1"/>
  <c r="CD258" i="1"/>
  <c r="BT258" i="1"/>
  <c r="BU258" i="1"/>
  <c r="CA258" i="1"/>
  <c r="BV258" i="1"/>
  <c r="BS258" i="1"/>
  <c r="BX251" i="1"/>
  <c r="CC251" i="1"/>
  <c r="BZ251" i="1"/>
  <c r="BU251" i="1"/>
  <c r="BW251" i="1"/>
  <c r="BV251" i="1"/>
  <c r="CH251" i="1"/>
  <c r="CF251" i="1"/>
  <c r="CE251" i="1" s="1"/>
  <c r="CD251" i="1"/>
  <c r="BS251" i="1"/>
  <c r="CB251" i="1"/>
  <c r="BT251" i="1"/>
  <c r="CA251" i="1"/>
  <c r="BY251" i="1"/>
  <c r="BY238" i="1"/>
  <c r="BT238" i="1"/>
  <c r="BV238" i="1"/>
  <c r="CB238" i="1"/>
  <c r="BU238" i="1"/>
  <c r="BW238" i="1"/>
  <c r="BX238" i="1"/>
  <c r="CF238" i="1"/>
  <c r="CE238" i="1" s="1"/>
  <c r="BZ238" i="1"/>
  <c r="CA238" i="1"/>
  <c r="CH238" i="1"/>
  <c r="CD238" i="1"/>
  <c r="BS238" i="1"/>
  <c r="CC238" i="1"/>
  <c r="CA234" i="1"/>
  <c r="CH234" i="1"/>
  <c r="BX234" i="1"/>
  <c r="BY234" i="1"/>
  <c r="BT234" i="1"/>
  <c r="BU234" i="1"/>
  <c r="CF234" i="1"/>
  <c r="CE234" i="1" s="1"/>
  <c r="BW234" i="1"/>
  <c r="CB234" i="1"/>
  <c r="BZ234" i="1"/>
  <c r="CD234" i="1"/>
  <c r="BS234" i="1"/>
  <c r="CC234" i="1"/>
  <c r="BV234" i="1"/>
  <c r="BY229" i="1"/>
  <c r="BV229" i="1"/>
  <c r="CC229" i="1"/>
  <c r="CF229" i="1"/>
  <c r="CE229" i="1" s="1"/>
  <c r="BT229" i="1"/>
  <c r="BS229" i="1"/>
  <c r="CB229" i="1"/>
  <c r="CA229" i="1"/>
  <c r="CD229" i="1"/>
  <c r="BZ229" i="1"/>
  <c r="CH229" i="1"/>
  <c r="BW229" i="1"/>
  <c r="BX229" i="1"/>
  <c r="BU229" i="1"/>
  <c r="BZ217" i="1"/>
  <c r="CB217" i="1"/>
  <c r="CD217" i="1"/>
  <c r="BV217" i="1"/>
  <c r="CF217" i="1"/>
  <c r="CC217" i="1"/>
  <c r="BU217" i="1"/>
  <c r="BY217" i="1"/>
  <c r="BT217" i="1"/>
  <c r="BW217" i="1"/>
  <c r="CA217" i="1"/>
  <c r="BX217" i="1"/>
  <c r="BS217" i="1"/>
  <c r="CD210" i="1"/>
  <c r="BX210" i="1"/>
  <c r="BY210" i="1"/>
  <c r="BZ210" i="1"/>
  <c r="BT210" i="1"/>
  <c r="BW210" i="1"/>
  <c r="BV210" i="1"/>
  <c r="CC210" i="1"/>
  <c r="CF210" i="1"/>
  <c r="CE210" i="1" s="1"/>
  <c r="CA210" i="1"/>
  <c r="BU210" i="1"/>
  <c r="CH210" i="1"/>
  <c r="CB210" i="1"/>
  <c r="BS210" i="1"/>
  <c r="BV200" i="1"/>
  <c r="BX200" i="1"/>
  <c r="CH200" i="1"/>
  <c r="BT200" i="1"/>
  <c r="BW200" i="1"/>
  <c r="CC200" i="1"/>
  <c r="BS200" i="1"/>
  <c r="BY200" i="1"/>
  <c r="CD200" i="1"/>
  <c r="BU200" i="1"/>
  <c r="CA200" i="1"/>
  <c r="CB200" i="1"/>
  <c r="BZ200" i="1"/>
  <c r="CF200" i="1"/>
  <c r="CE200" i="1" s="1"/>
  <c r="CF197" i="1"/>
  <c r="CE197" i="1" s="1"/>
  <c r="CH197" i="1"/>
  <c r="BZ197" i="1"/>
  <c r="CB197" i="1"/>
  <c r="BV197" i="1"/>
  <c r="BU197" i="1"/>
  <c r="CD197" i="1"/>
  <c r="CC197" i="1"/>
  <c r="BY197" i="1"/>
  <c r="BX197" i="1"/>
  <c r="BT197" i="1"/>
  <c r="CA197" i="1"/>
  <c r="BW197" i="1"/>
  <c r="BS197" i="1"/>
  <c r="BV186" i="1"/>
  <c r="BX186" i="1"/>
  <c r="BS186" i="1"/>
  <c r="BU186" i="1"/>
  <c r="CD186" i="1"/>
  <c r="CF186" i="1"/>
  <c r="BT186" i="1"/>
  <c r="CB186" i="1"/>
  <c r="BY186" i="1"/>
  <c r="BW186" i="1"/>
  <c r="CA186" i="1"/>
  <c r="BZ186" i="1"/>
  <c r="CC186" i="1"/>
  <c r="CB179" i="1"/>
  <c r="BV179" i="1"/>
  <c r="BU179" i="1"/>
  <c r="CD179" i="1"/>
  <c r="BW179" i="1"/>
  <c r="CC179" i="1"/>
  <c r="BZ179" i="1"/>
  <c r="CF179" i="1"/>
  <c r="BT179" i="1"/>
  <c r="BY179" i="1"/>
  <c r="BS179" i="1"/>
  <c r="BX179" i="1"/>
  <c r="CA179" i="1"/>
  <c r="BT173" i="1"/>
  <c r="BV173" i="1"/>
  <c r="BY173" i="1"/>
  <c r="CA173" i="1"/>
  <c r="BW173" i="1"/>
  <c r="CB173" i="1"/>
  <c r="BU173" i="1"/>
  <c r="CD173" i="1"/>
  <c r="CC173" i="1"/>
  <c r="BX173" i="1"/>
  <c r="BZ173" i="1"/>
  <c r="BS173" i="1"/>
  <c r="CF173" i="1"/>
  <c r="BT168" i="1"/>
  <c r="BW168" i="1"/>
  <c r="BU168" i="1"/>
  <c r="CB168" i="1"/>
  <c r="CD168" i="1"/>
  <c r="BZ168" i="1"/>
  <c r="CF168" i="1"/>
  <c r="CE168" i="1" s="1"/>
  <c r="BY168" i="1"/>
  <c r="BX168" i="1"/>
  <c r="CC168" i="1"/>
  <c r="CH168" i="1"/>
  <c r="CA168" i="1"/>
  <c r="BS168" i="1"/>
  <c r="BV168" i="1"/>
  <c r="CC319" i="1"/>
  <c r="CA319" i="1"/>
  <c r="BT319" i="1"/>
  <c r="BU319" i="1"/>
  <c r="BV319" i="1"/>
  <c r="CB319" i="1"/>
  <c r="BW319" i="1"/>
  <c r="BS319" i="1"/>
  <c r="BY319" i="1"/>
  <c r="CD319" i="1"/>
  <c r="CF319" i="1"/>
  <c r="BX319" i="1"/>
  <c r="BZ319" i="1"/>
  <c r="BS312" i="1"/>
  <c r="BV312" i="1"/>
  <c r="CB312" i="1"/>
  <c r="CD312" i="1"/>
  <c r="CF312" i="1"/>
  <c r="CC312" i="1"/>
  <c r="BU312" i="1"/>
  <c r="BY312" i="1"/>
  <c r="BT312" i="1"/>
  <c r="BZ312" i="1"/>
  <c r="CA312" i="1"/>
  <c r="BW312" i="1"/>
  <c r="BX312" i="1"/>
  <c r="BZ292" i="1"/>
  <c r="CB292" i="1"/>
  <c r="BV292" i="1"/>
  <c r="BW292" i="1"/>
  <c r="CA292" i="1"/>
  <c r="CF292" i="1"/>
  <c r="BS292" i="1"/>
  <c r="BU292" i="1"/>
  <c r="BX292" i="1"/>
  <c r="CC292" i="1"/>
  <c r="BY292" i="1"/>
  <c r="CD292" i="1"/>
  <c r="BT292" i="1"/>
  <c r="BS274" i="1"/>
  <c r="BW274" i="1"/>
  <c r="CB274" i="1"/>
  <c r="CD274" i="1"/>
  <c r="BU274" i="1"/>
  <c r="BZ274" i="1"/>
  <c r="BT274" i="1"/>
  <c r="BV274" i="1"/>
  <c r="CA274" i="1"/>
  <c r="BX274" i="1"/>
  <c r="BY274" i="1"/>
  <c r="CC274" i="1"/>
  <c r="CF274" i="1"/>
  <c r="CB304" i="1"/>
  <c r="CD304" i="1"/>
  <c r="BZ304" i="1"/>
  <c r="CH304" i="1"/>
  <c r="BY304" i="1"/>
  <c r="BS304" i="1"/>
  <c r="BT304" i="1"/>
  <c r="BW304" i="1"/>
  <c r="BV304" i="1"/>
  <c r="CF304" i="1"/>
  <c r="CE304" i="1" s="1"/>
  <c r="BU304" i="1"/>
  <c r="BX304" i="1"/>
  <c r="CC304" i="1"/>
  <c r="CA304" i="1"/>
  <c r="BW295" i="1"/>
  <c r="BT295" i="1"/>
  <c r="CD295" i="1"/>
  <c r="BS295" i="1"/>
  <c r="BX295" i="1"/>
  <c r="BY295" i="1"/>
  <c r="BZ295" i="1"/>
  <c r="BU295" i="1"/>
  <c r="CH295" i="1"/>
  <c r="CC295" i="1"/>
  <c r="BV295" i="1"/>
  <c r="CB295" i="1"/>
  <c r="CA295" i="1"/>
  <c r="CF295" i="1"/>
  <c r="CE295" i="1" s="1"/>
  <c r="BW272" i="1"/>
  <c r="BT272" i="1"/>
  <c r="BZ272" i="1"/>
  <c r="CA272" i="1"/>
  <c r="CC272" i="1"/>
  <c r="BV272" i="1"/>
  <c r="BY272" i="1"/>
  <c r="CD272" i="1"/>
  <c r="BU272" i="1"/>
  <c r="BS272" i="1"/>
  <c r="CF272" i="1"/>
  <c r="CE272" i="1" s="1"/>
  <c r="CB272" i="1"/>
  <c r="BX272" i="1"/>
  <c r="CH272" i="1"/>
  <c r="BU323" i="1"/>
  <c r="CC323" i="1"/>
  <c r="BT323" i="1"/>
  <c r="BW323" i="1"/>
  <c r="BY323" i="1"/>
  <c r="BV323" i="1"/>
  <c r="BZ323" i="1"/>
  <c r="BX323" i="1"/>
  <c r="CB323" i="1"/>
  <c r="BS323" i="1"/>
  <c r="CF323" i="1"/>
  <c r="CE323" i="1" s="1"/>
  <c r="CD323" i="1"/>
  <c r="CA323" i="1"/>
  <c r="BV316" i="1"/>
  <c r="CH316" i="1"/>
  <c r="CF316" i="1"/>
  <c r="CE316" i="1" s="1"/>
  <c r="BX316" i="1"/>
  <c r="BY316" i="1"/>
  <c r="CB316" i="1"/>
  <c r="BT316" i="1"/>
  <c r="CA316" i="1"/>
  <c r="BW316" i="1"/>
  <c r="CC316" i="1"/>
  <c r="CD316" i="1"/>
  <c r="BU316" i="1"/>
  <c r="BS316" i="1"/>
  <c r="BZ316" i="1"/>
  <c r="CD313" i="1"/>
  <c r="BW313" i="1"/>
  <c r="BX313" i="1"/>
  <c r="BY313" i="1"/>
  <c r="CB313" i="1"/>
  <c r="BV313" i="1"/>
  <c r="CF313" i="1"/>
  <c r="CE313" i="1" s="1"/>
  <c r="CH313" i="1"/>
  <c r="BS313" i="1"/>
  <c r="CA313" i="1"/>
  <c r="BU313" i="1"/>
  <c r="CC313" i="1"/>
  <c r="BZ313" i="1"/>
  <c r="BT313" i="1"/>
  <c r="CH286" i="1"/>
  <c r="CB286" i="1"/>
  <c r="BU286" i="1"/>
  <c r="BX286" i="1"/>
  <c r="BZ286" i="1"/>
  <c r="BT286" i="1"/>
  <c r="CD286" i="1"/>
  <c r="BW286" i="1"/>
  <c r="BY286" i="1"/>
  <c r="BS286" i="1"/>
  <c r="CC286" i="1"/>
  <c r="BV286" i="1"/>
  <c r="CF286" i="1"/>
  <c r="CE286" i="1" s="1"/>
  <c r="CA286" i="1"/>
  <c r="CB290" i="1"/>
  <c r="CC290" i="1"/>
  <c r="BW290" i="1"/>
  <c r="BY290" i="1"/>
  <c r="BT290" i="1"/>
  <c r="BU290" i="1"/>
  <c r="CD290" i="1"/>
  <c r="CA290" i="1"/>
  <c r="BS290" i="1"/>
  <c r="CH290" i="1"/>
  <c r="BV290" i="1"/>
  <c r="CF290" i="1"/>
  <c r="CE290" i="1" s="1"/>
  <c r="BX290" i="1"/>
  <c r="BZ290" i="1"/>
  <c r="BS299" i="1"/>
  <c r="CB299" i="1"/>
  <c r="CC299" i="1"/>
  <c r="BY299" i="1"/>
  <c r="BU299" i="1"/>
  <c r="CD299" i="1"/>
  <c r="BT299" i="1"/>
  <c r="BV299" i="1"/>
  <c r="CF299" i="1"/>
  <c r="BZ299" i="1"/>
  <c r="CA299" i="1"/>
  <c r="BW299" i="1"/>
  <c r="BX299" i="1"/>
  <c r="BW270" i="1"/>
  <c r="BX270" i="1"/>
  <c r="BV270" i="1"/>
  <c r="CH270" i="1"/>
  <c r="CF270" i="1"/>
  <c r="CE270" i="1" s="1"/>
  <c r="CC270" i="1"/>
  <c r="CD270" i="1"/>
  <c r="BS270" i="1"/>
  <c r="CA270" i="1"/>
  <c r="BT270" i="1"/>
  <c r="BU270" i="1"/>
  <c r="CB270" i="1"/>
  <c r="BZ270" i="1"/>
  <c r="BY270" i="1"/>
  <c r="BS267" i="1"/>
  <c r="BW267" i="1"/>
  <c r="BX267" i="1"/>
  <c r="BU267" i="1"/>
  <c r="CA267" i="1"/>
  <c r="CC267" i="1"/>
  <c r="CF267" i="1"/>
  <c r="CD267" i="1"/>
  <c r="BY267" i="1"/>
  <c r="BZ267" i="1"/>
  <c r="CB267" i="1"/>
  <c r="BV267" i="1"/>
  <c r="BT267" i="1"/>
  <c r="CB280" i="1"/>
  <c r="CH280" i="1"/>
  <c r="BX280" i="1"/>
  <c r="CD280" i="1"/>
  <c r="CA280" i="1"/>
  <c r="BZ280" i="1"/>
  <c r="BW280" i="1"/>
  <c r="BV280" i="1"/>
  <c r="BU280" i="1"/>
  <c r="CC280" i="1"/>
  <c r="BS280" i="1"/>
  <c r="BT280" i="1"/>
  <c r="CF280" i="1"/>
  <c r="CE280" i="1" s="1"/>
  <c r="BY280" i="1"/>
  <c r="BW317" i="1"/>
  <c r="BZ317" i="1"/>
  <c r="CB317" i="1"/>
  <c r="CA317" i="1"/>
  <c r="BX317" i="1"/>
  <c r="BV317" i="1"/>
  <c r="BU317" i="1"/>
  <c r="CD317" i="1"/>
  <c r="BS317" i="1"/>
  <c r="CF317" i="1"/>
  <c r="BY317" i="1"/>
  <c r="BT317" i="1"/>
  <c r="CC317" i="1"/>
  <c r="BZ291" i="1"/>
  <c r="CC291" i="1"/>
  <c r="CA291" i="1"/>
  <c r="BY291" i="1"/>
  <c r="BW291" i="1"/>
  <c r="BU291" i="1"/>
  <c r="BS291" i="1"/>
  <c r="CF291" i="1"/>
  <c r="CE291" i="1" s="1"/>
  <c r="CH291" i="1"/>
  <c r="BX291" i="1"/>
  <c r="BV291" i="1"/>
  <c r="CB291" i="1"/>
  <c r="BT291" i="1"/>
  <c r="CD291" i="1"/>
  <c r="BS279" i="1"/>
  <c r="BY279" i="1"/>
  <c r="CC279" i="1"/>
  <c r="BW279" i="1"/>
  <c r="BU279" i="1"/>
  <c r="BZ279" i="1"/>
  <c r="CF279" i="1"/>
  <c r="CD279" i="1"/>
  <c r="CB279" i="1"/>
  <c r="CA279" i="1"/>
  <c r="BV279" i="1"/>
  <c r="BX279" i="1"/>
  <c r="BT279" i="1"/>
  <c r="CD263" i="1"/>
  <c r="CH263" i="1"/>
  <c r="CC263" i="1"/>
  <c r="CB263" i="1"/>
  <c r="BS263" i="1"/>
  <c r="BX263" i="1"/>
  <c r="BW263" i="1"/>
  <c r="CA263" i="1"/>
  <c r="BZ263" i="1"/>
  <c r="CF263" i="1"/>
  <c r="CE263" i="1" s="1"/>
  <c r="BV263" i="1"/>
  <c r="BY263" i="1"/>
  <c r="BU263" i="1"/>
  <c r="BT263" i="1"/>
  <c r="BY315" i="1"/>
  <c r="BS315" i="1"/>
  <c r="BZ315" i="1"/>
  <c r="CF315" i="1"/>
  <c r="BW315" i="1"/>
  <c r="CB315" i="1"/>
  <c r="CD315" i="1"/>
  <c r="BX315" i="1"/>
  <c r="BU315" i="1"/>
  <c r="BT315" i="1"/>
  <c r="BV315" i="1"/>
  <c r="CA315" i="1"/>
  <c r="CC315" i="1"/>
  <c r="BT298" i="1"/>
  <c r="BY298" i="1"/>
  <c r="CA298" i="1"/>
  <c r="CC298" i="1"/>
  <c r="BW298" i="1"/>
  <c r="BS298" i="1"/>
  <c r="CD298" i="1"/>
  <c r="CF298" i="1"/>
  <c r="CB298" i="1"/>
  <c r="BX298" i="1"/>
  <c r="BU298" i="1"/>
  <c r="BV298" i="1"/>
  <c r="BZ298" i="1"/>
  <c r="BY297" i="1"/>
  <c r="CH297" i="1"/>
  <c r="CB297" i="1"/>
  <c r="BW297" i="1"/>
  <c r="CF297" i="1"/>
  <c r="CE297" i="1" s="1"/>
  <c r="BV297" i="1"/>
  <c r="BT297" i="1"/>
  <c r="BZ297" i="1"/>
  <c r="BX297" i="1"/>
  <c r="CC297" i="1"/>
  <c r="CD297" i="1"/>
  <c r="BS297" i="1"/>
  <c r="CA297" i="1"/>
  <c r="BU297" i="1"/>
  <c r="CB283" i="1"/>
  <c r="BV283" i="1"/>
  <c r="BU283" i="1"/>
  <c r="CF283" i="1"/>
  <c r="BS283" i="1"/>
  <c r="BY283" i="1"/>
  <c r="BT283" i="1"/>
  <c r="CC283" i="1"/>
  <c r="BX283" i="1"/>
  <c r="BZ283" i="1"/>
  <c r="BW283" i="1"/>
  <c r="CD283" i="1"/>
  <c r="CA283" i="1"/>
  <c r="CB321" i="1"/>
  <c r="BU321" i="1"/>
  <c r="CC321" i="1"/>
  <c r="BX321" i="1"/>
  <c r="CD321" i="1"/>
  <c r="BT321" i="1"/>
  <c r="BZ321" i="1"/>
  <c r="BV321" i="1"/>
  <c r="BS321" i="1"/>
  <c r="CF321" i="1"/>
  <c r="CA321" i="1"/>
  <c r="BY321" i="1"/>
  <c r="BW321" i="1"/>
  <c r="BS308" i="1"/>
  <c r="BV308" i="1"/>
  <c r="BW308" i="1"/>
  <c r="CH308" i="1"/>
  <c r="BY308" i="1"/>
  <c r="CB308" i="1"/>
  <c r="BX308" i="1"/>
  <c r="CA308" i="1"/>
  <c r="BU308" i="1"/>
  <c r="BZ308" i="1"/>
  <c r="CF308" i="1"/>
  <c r="CE308" i="1" s="1"/>
  <c r="BT308" i="1"/>
  <c r="CC308" i="1"/>
  <c r="CD308" i="1"/>
  <c r="BU305" i="1"/>
  <c r="CH305" i="1"/>
  <c r="BZ305" i="1"/>
  <c r="BX305" i="1"/>
  <c r="BW305" i="1"/>
  <c r="BT305" i="1"/>
  <c r="CD305" i="1"/>
  <c r="BV305" i="1"/>
  <c r="CF305" i="1"/>
  <c r="CE305" i="1" s="1"/>
  <c r="CB305" i="1"/>
  <c r="CA305" i="1"/>
  <c r="BS305" i="1"/>
  <c r="CC305" i="1"/>
  <c r="BY305" i="1"/>
  <c r="BY300" i="1"/>
  <c r="CC300" i="1"/>
  <c r="CB300" i="1"/>
  <c r="BX300" i="1"/>
  <c r="CD300" i="1"/>
  <c r="BV300" i="1"/>
  <c r="CF300" i="1"/>
  <c r="BS300" i="1"/>
  <c r="BT300" i="1"/>
  <c r="BW300" i="1"/>
  <c r="BU300" i="1"/>
  <c r="BZ300" i="1"/>
  <c r="CA300" i="1"/>
  <c r="BX293" i="1"/>
  <c r="BS293" i="1"/>
  <c r="BZ293" i="1"/>
  <c r="BT293" i="1"/>
  <c r="CF293" i="1"/>
  <c r="CE293" i="1" s="1"/>
  <c r="BW293" i="1"/>
  <c r="BY293" i="1"/>
  <c r="CA293" i="1"/>
  <c r="BU293" i="1"/>
  <c r="CB293" i="1"/>
  <c r="CH293" i="1"/>
  <c r="CD293" i="1"/>
  <c r="CC293" i="1"/>
  <c r="BV293" i="1"/>
  <c r="CH282" i="1"/>
  <c r="BW282" i="1"/>
  <c r="BX282" i="1"/>
  <c r="CA282" i="1"/>
  <c r="BT282" i="1"/>
  <c r="BZ282" i="1"/>
  <c r="BV282" i="1"/>
  <c r="CC282" i="1"/>
  <c r="CF282" i="1"/>
  <c r="CE282" i="1" s="1"/>
  <c r="BS282" i="1"/>
  <c r="CB282" i="1"/>
  <c r="CD282" i="1"/>
  <c r="BY282" i="1"/>
  <c r="BU282" i="1"/>
  <c r="BX273" i="1"/>
  <c r="CC273" i="1"/>
  <c r="CB273" i="1"/>
  <c r="BV273" i="1"/>
  <c r="BW273" i="1"/>
  <c r="BT273" i="1"/>
  <c r="BY273" i="1"/>
  <c r="BZ273" i="1"/>
  <c r="BU273" i="1"/>
  <c r="CF273" i="1"/>
  <c r="CE273" i="1" s="1"/>
  <c r="CH273" i="1"/>
  <c r="CA273" i="1"/>
  <c r="BS273" i="1"/>
  <c r="CD273" i="1"/>
  <c r="BX268" i="1"/>
  <c r="BS268" i="1"/>
  <c r="CC268" i="1"/>
  <c r="CF268" i="1"/>
  <c r="CE268" i="1" s="1"/>
  <c r="CB268" i="1"/>
  <c r="CD268" i="1"/>
  <c r="CA268" i="1"/>
  <c r="BY268" i="1"/>
  <c r="BZ268" i="1"/>
  <c r="BW268" i="1"/>
  <c r="BU268" i="1"/>
  <c r="BT268" i="1"/>
  <c r="BV268" i="1"/>
  <c r="CB289" i="1"/>
  <c r="BX289" i="1"/>
  <c r="BV289" i="1"/>
  <c r="BT289" i="1"/>
  <c r="BZ289" i="1"/>
  <c r="BW289" i="1"/>
  <c r="CC289" i="1"/>
  <c r="CD289" i="1"/>
  <c r="CF289" i="1"/>
  <c r="CE289" i="1" s="1"/>
  <c r="CA289" i="1"/>
  <c r="BS289" i="1"/>
  <c r="CH289" i="1"/>
  <c r="BU289" i="1"/>
  <c r="BY289" i="1"/>
  <c r="BW262" i="1"/>
  <c r="BZ262" i="1"/>
  <c r="BY262" i="1"/>
  <c r="BS262" i="1"/>
  <c r="CB262" i="1"/>
  <c r="CC262" i="1"/>
  <c r="CF262" i="1"/>
  <c r="BU262" i="1"/>
  <c r="BT262" i="1"/>
  <c r="BX262" i="1"/>
  <c r="CA262" i="1"/>
  <c r="CD262" i="1"/>
  <c r="BV262" i="1"/>
  <c r="BX296" i="1"/>
  <c r="BV296" i="1"/>
  <c r="BS296" i="1"/>
  <c r="BW296" i="1"/>
  <c r="BZ296" i="1"/>
  <c r="CH296" i="1"/>
  <c r="BU296" i="1"/>
  <c r="CB296" i="1"/>
  <c r="BY296" i="1"/>
  <c r="CF296" i="1"/>
  <c r="CE296" i="1" s="1"/>
  <c r="CA296" i="1"/>
  <c r="CD296" i="1"/>
  <c r="BT296" i="1"/>
  <c r="CC296" i="1"/>
  <c r="CB320" i="1"/>
  <c r="BS320" i="1"/>
  <c r="BX320" i="1"/>
  <c r="CA320" i="1"/>
  <c r="CH320" i="1"/>
  <c r="CF320" i="1"/>
  <c r="CE320" i="1" s="1"/>
  <c r="BV320" i="1"/>
  <c r="BT320" i="1"/>
  <c r="CC320" i="1"/>
  <c r="BZ320" i="1"/>
  <c r="BU320" i="1"/>
  <c r="CD320" i="1"/>
  <c r="BY320" i="1"/>
  <c r="BW320" i="1"/>
  <c r="BV309" i="1"/>
  <c r="BT309" i="1"/>
  <c r="CC309" i="1"/>
  <c r="CB309" i="1"/>
  <c r="BS309" i="1"/>
  <c r="BY309" i="1"/>
  <c r="CH309" i="1"/>
  <c r="BU309" i="1"/>
  <c r="CD309" i="1"/>
  <c r="BZ309" i="1"/>
  <c r="CF309" i="1"/>
  <c r="CE309" i="1" s="1"/>
  <c r="BX309" i="1"/>
  <c r="CA309" i="1"/>
  <c r="BW309" i="1"/>
  <c r="BV307" i="1"/>
  <c r="CB307" i="1"/>
  <c r="CH307" i="1"/>
  <c r="CA307" i="1"/>
  <c r="BT307" i="1"/>
  <c r="CF307" i="1"/>
  <c r="CE307" i="1" s="1"/>
  <c r="BU307" i="1"/>
  <c r="BW307" i="1"/>
  <c r="BX307" i="1"/>
  <c r="BY307" i="1"/>
  <c r="CD307" i="1"/>
  <c r="BZ307" i="1"/>
  <c r="CC307" i="1"/>
  <c r="BS307" i="1"/>
  <c r="CC301" i="1"/>
  <c r="CB301" i="1"/>
  <c r="BY301" i="1"/>
  <c r="BV301" i="1"/>
  <c r="CF301" i="1"/>
  <c r="BZ301" i="1"/>
  <c r="BS301" i="1"/>
  <c r="CA301" i="1"/>
  <c r="BX301" i="1"/>
  <c r="BU301" i="1"/>
  <c r="BW301" i="1"/>
  <c r="BT301" i="1"/>
  <c r="CD301" i="1"/>
  <c r="CB294" i="1"/>
  <c r="CC294" i="1"/>
  <c r="BX294" i="1"/>
  <c r="BZ294" i="1"/>
  <c r="BT294" i="1"/>
  <c r="BV294" i="1"/>
  <c r="CD294" i="1"/>
  <c r="BU294" i="1"/>
  <c r="CA294" i="1"/>
  <c r="BY294" i="1"/>
  <c r="CF294" i="1"/>
  <c r="BW294" i="1"/>
  <c r="BS294" i="1"/>
  <c r="BW278" i="1"/>
  <c r="BT278" i="1"/>
  <c r="BZ278" i="1"/>
  <c r="CA278" i="1"/>
  <c r="BU278" i="1"/>
  <c r="CD278" i="1"/>
  <c r="CF278" i="1"/>
  <c r="CE278" i="1" s="1"/>
  <c r="BS278" i="1"/>
  <c r="BY278" i="1"/>
  <c r="CC278" i="1"/>
  <c r="BV278" i="1"/>
  <c r="CH278" i="1"/>
  <c r="BX278" i="1"/>
  <c r="CB278" i="1"/>
  <c r="CD276" i="1"/>
  <c r="CH276" i="1"/>
  <c r="BS276" i="1"/>
  <c r="CB276" i="1"/>
  <c r="BU276" i="1"/>
  <c r="BW276" i="1"/>
  <c r="CC276" i="1"/>
  <c r="BY276" i="1"/>
  <c r="BX276" i="1"/>
  <c r="CF276" i="1"/>
  <c r="CE276" i="1" s="1"/>
  <c r="CA276" i="1"/>
  <c r="BZ276" i="1"/>
  <c r="BT276" i="1"/>
  <c r="BV276" i="1"/>
  <c r="CD266" i="1"/>
  <c r="BS266" i="1"/>
  <c r="CF266" i="1"/>
  <c r="CB266" i="1"/>
  <c r="CA266" i="1"/>
  <c r="BV266" i="1"/>
  <c r="BY266" i="1"/>
  <c r="BT266" i="1"/>
  <c r="BU266" i="1"/>
  <c r="BZ266" i="1"/>
  <c r="CC266" i="1"/>
  <c r="BX266" i="1"/>
  <c r="BW266" i="1"/>
  <c r="BW322" i="1"/>
  <c r="CC322" i="1"/>
  <c r="BX322" i="1"/>
  <c r="BV322" i="1"/>
  <c r="CB322" i="1"/>
  <c r="CD322" i="1"/>
  <c r="BT322" i="1"/>
  <c r="BU322" i="1"/>
  <c r="BY322" i="1"/>
  <c r="BS322" i="1"/>
  <c r="CA322" i="1"/>
  <c r="BZ322" i="1"/>
  <c r="CF322" i="1"/>
  <c r="CE322" i="1" s="1"/>
  <c r="BS310" i="1"/>
  <c r="BW310" i="1"/>
  <c r="CC310" i="1"/>
  <c r="BX310" i="1"/>
  <c r="CD310" i="1"/>
  <c r="BV310" i="1"/>
  <c r="CF310" i="1"/>
  <c r="CB310" i="1"/>
  <c r="BY310" i="1"/>
  <c r="BT310" i="1"/>
  <c r="BZ310" i="1"/>
  <c r="CA310" i="1"/>
  <c r="BU310" i="1"/>
  <c r="CB306" i="1"/>
  <c r="BY306" i="1"/>
  <c r="BV306" i="1"/>
  <c r="CC306" i="1"/>
  <c r="CA306" i="1"/>
  <c r="CD306" i="1"/>
  <c r="BZ306" i="1"/>
  <c r="CH306" i="1"/>
  <c r="BW306" i="1"/>
  <c r="BU306" i="1"/>
  <c r="BS306" i="1"/>
  <c r="CF306" i="1"/>
  <c r="CE306" i="1" s="1"/>
  <c r="BT306" i="1"/>
  <c r="BX306" i="1"/>
  <c r="BU288" i="1"/>
  <c r="BY288" i="1"/>
  <c r="BS288" i="1"/>
  <c r="BT288" i="1"/>
  <c r="CD288" i="1"/>
  <c r="CF288" i="1"/>
  <c r="CB288" i="1"/>
  <c r="BW288" i="1"/>
  <c r="BV288" i="1"/>
  <c r="CA288" i="1"/>
  <c r="CC288" i="1"/>
  <c r="BX288" i="1"/>
  <c r="BZ288" i="1"/>
  <c r="CH284" i="1"/>
  <c r="CB284" i="1"/>
  <c r="BU284" i="1"/>
  <c r="BT284" i="1"/>
  <c r="BV284" i="1"/>
  <c r="BW284" i="1"/>
  <c r="BZ284" i="1"/>
  <c r="CA284" i="1"/>
  <c r="BY284" i="1"/>
  <c r="BS284" i="1"/>
  <c r="CD284" i="1"/>
  <c r="CC284" i="1"/>
  <c r="CF284" i="1"/>
  <c r="CE284" i="1" s="1"/>
  <c r="BX284" i="1"/>
  <c r="BT281" i="1"/>
  <c r="CD281" i="1"/>
  <c r="BS281" i="1"/>
  <c r="BY281" i="1"/>
  <c r="BX281" i="1"/>
  <c r="CB281" i="1"/>
  <c r="CA281" i="1"/>
  <c r="BU281" i="1"/>
  <c r="BZ281" i="1"/>
  <c r="BW281" i="1"/>
  <c r="CC281" i="1"/>
  <c r="BV281" i="1"/>
  <c r="CF281" i="1"/>
  <c r="BT271" i="1"/>
  <c r="BW271" i="1"/>
  <c r="BZ271" i="1"/>
  <c r="CC271" i="1"/>
  <c r="BS271" i="1"/>
  <c r="BY271" i="1"/>
  <c r="CD271" i="1"/>
  <c r="BU271" i="1"/>
  <c r="CF271" i="1"/>
  <c r="CA271" i="1"/>
  <c r="BX271" i="1"/>
  <c r="CB271" i="1"/>
  <c r="BV271" i="1"/>
  <c r="BW265" i="1"/>
  <c r="BU265" i="1"/>
  <c r="BV265" i="1"/>
  <c r="BS265" i="1"/>
  <c r="BX265" i="1"/>
  <c r="CC265" i="1"/>
  <c r="BZ265" i="1"/>
  <c r="BT265" i="1"/>
  <c r="CD265" i="1"/>
  <c r="CF265" i="1"/>
  <c r="BY265" i="1"/>
  <c r="CA265" i="1"/>
  <c r="CB265" i="1"/>
  <c r="BW303" i="1"/>
  <c r="CF303" i="1"/>
  <c r="CE303" i="1" s="1"/>
  <c r="BZ303" i="1"/>
  <c r="BV303" i="1"/>
  <c r="CH303" i="1"/>
  <c r="BT303" i="1"/>
  <c r="BU303" i="1"/>
  <c r="BS303" i="1"/>
  <c r="BY303" i="1"/>
  <c r="CC303" i="1"/>
  <c r="CD303" i="1"/>
  <c r="BX303" i="1"/>
  <c r="CA303" i="1"/>
  <c r="CB303" i="1"/>
  <c r="BY314" i="1"/>
  <c r="CB314" i="1"/>
  <c r="BT314" i="1"/>
  <c r="CA314" i="1"/>
  <c r="BW314" i="1"/>
  <c r="CD314" i="1"/>
  <c r="CF314" i="1"/>
  <c r="CC314" i="1"/>
  <c r="BV314" i="1"/>
  <c r="BZ314" i="1"/>
  <c r="BU314" i="1"/>
  <c r="BX314" i="1"/>
  <c r="BS314" i="1"/>
  <c r="BW269" i="1"/>
  <c r="CF269" i="1"/>
  <c r="CC269" i="1"/>
  <c r="CA269" i="1"/>
  <c r="CD269" i="1"/>
  <c r="BX269" i="1"/>
  <c r="BU269" i="1"/>
  <c r="BV269" i="1"/>
  <c r="BS269" i="1"/>
  <c r="BZ269" i="1"/>
  <c r="CB269" i="1"/>
  <c r="BY269" i="1"/>
  <c r="BT269" i="1"/>
  <c r="BT318" i="1"/>
  <c r="CH318" i="1"/>
  <c r="BU318" i="1"/>
  <c r="CF318" i="1"/>
  <c r="CE318" i="1" s="1"/>
  <c r="BS318" i="1"/>
  <c r="CA318" i="1"/>
  <c r="BY318" i="1"/>
  <c r="BW318" i="1"/>
  <c r="CB318" i="1"/>
  <c r="BX318" i="1"/>
  <c r="BZ318" i="1"/>
  <c r="CD318" i="1"/>
  <c r="CC318" i="1"/>
  <c r="BV318" i="1"/>
  <c r="BU311" i="1"/>
  <c r="CH311" i="1"/>
  <c r="BY311" i="1"/>
  <c r="CB311" i="1"/>
  <c r="BV311" i="1"/>
  <c r="CF311" i="1"/>
  <c r="CE311" i="1" s="1"/>
  <c r="BZ311" i="1"/>
  <c r="BT311" i="1"/>
  <c r="CA311" i="1"/>
  <c r="BX311" i="1"/>
  <c r="CD311" i="1"/>
  <c r="BW311" i="1"/>
  <c r="BS311" i="1"/>
  <c r="CC311" i="1"/>
  <c r="CF302" i="1"/>
  <c r="BT302" i="1"/>
  <c r="BZ302" i="1"/>
  <c r="CB302" i="1"/>
  <c r="BY302" i="1"/>
  <c r="BU302" i="1"/>
  <c r="BW302" i="1"/>
  <c r="CD302" i="1"/>
  <c r="BV302" i="1"/>
  <c r="BS302" i="1"/>
  <c r="BX302" i="1"/>
  <c r="CC302" i="1"/>
  <c r="CA302" i="1"/>
  <c r="BU287" i="1"/>
  <c r="BZ287" i="1"/>
  <c r="CB287" i="1"/>
  <c r="CD287" i="1"/>
  <c r="CF287" i="1"/>
  <c r="BV287" i="1"/>
  <c r="BT287" i="1"/>
  <c r="BX287" i="1"/>
  <c r="BS287" i="1"/>
  <c r="BW287" i="1"/>
  <c r="CC287" i="1"/>
  <c r="CA287" i="1"/>
  <c r="BY287" i="1"/>
  <c r="BW285" i="1"/>
  <c r="CC285" i="1"/>
  <c r="CB285" i="1"/>
  <c r="BY285" i="1"/>
  <c r="BX285" i="1"/>
  <c r="CH285" i="1"/>
  <c r="BS285" i="1"/>
  <c r="BV285" i="1"/>
  <c r="CF285" i="1"/>
  <c r="CE285" i="1" s="1"/>
  <c r="CA285" i="1"/>
  <c r="BU285" i="1"/>
  <c r="CD285" i="1"/>
  <c r="BT285" i="1"/>
  <c r="BZ285" i="1"/>
  <c r="BU277" i="1"/>
  <c r="BZ277" i="1"/>
  <c r="BX277" i="1"/>
  <c r="BV277" i="1"/>
  <c r="BW277" i="1"/>
  <c r="CA277" i="1"/>
  <c r="BY277" i="1"/>
  <c r="CB277" i="1"/>
  <c r="CD277" i="1"/>
  <c r="CC277" i="1"/>
  <c r="BS277" i="1"/>
  <c r="CF277" i="1"/>
  <c r="BT277" i="1"/>
  <c r="BZ275" i="1"/>
  <c r="BW275" i="1"/>
  <c r="CF275" i="1"/>
  <c r="BY275" i="1"/>
  <c r="BV275" i="1"/>
  <c r="BT275" i="1"/>
  <c r="CB275" i="1"/>
  <c r="BU275" i="1"/>
  <c r="CA275" i="1"/>
  <c r="CD275" i="1"/>
  <c r="CC275" i="1"/>
  <c r="BS275" i="1"/>
  <c r="BX275" i="1"/>
  <c r="BV264" i="1"/>
  <c r="BZ264" i="1"/>
  <c r="BX264" i="1"/>
  <c r="CC264" i="1"/>
  <c r="CB264" i="1"/>
  <c r="CA264" i="1"/>
  <c r="CD264" i="1"/>
  <c r="BS264" i="1"/>
  <c r="CF264" i="1"/>
  <c r="CE264" i="1" s="1"/>
  <c r="CH264" i="1"/>
  <c r="BT264" i="1"/>
  <c r="BU264" i="1"/>
  <c r="BW264" i="1"/>
  <c r="BY264" i="1"/>
  <c r="CD324" i="1"/>
  <c r="BS324" i="1"/>
  <c r="BV324" i="1"/>
  <c r="BZ324" i="1"/>
  <c r="BY324" i="1"/>
  <c r="BU324" i="1"/>
  <c r="CB324" i="1"/>
  <c r="BW324" i="1"/>
  <c r="CF324" i="1"/>
  <c r="CA324" i="1"/>
  <c r="BX324" i="1"/>
  <c r="CC324" i="1"/>
  <c r="BT324" i="1"/>
  <c r="BV325" i="1"/>
  <c r="BU325" i="1"/>
  <c r="BX325" i="1"/>
  <c r="CA325" i="1"/>
  <c r="CF325" i="1"/>
  <c r="BZ325" i="1"/>
  <c r="BT325" i="1"/>
  <c r="BW325" i="1"/>
  <c r="CD325" i="1"/>
  <c r="BY325" i="1"/>
  <c r="CB325" i="1"/>
  <c r="CC325" i="1"/>
  <c r="BS325" i="1"/>
  <c r="BU332" i="1"/>
  <c r="CB332" i="1"/>
  <c r="BV332" i="1"/>
  <c r="BZ332" i="1"/>
  <c r="CC332" i="1"/>
  <c r="BW332" i="1"/>
  <c r="BX332" i="1"/>
  <c r="CD332" i="1"/>
  <c r="BT332" i="1"/>
  <c r="BS332" i="1"/>
  <c r="CF332" i="1"/>
  <c r="CA332" i="1"/>
  <c r="BY332" i="1"/>
  <c r="CD326" i="1"/>
  <c r="BU326" i="1"/>
  <c r="BY326" i="1"/>
  <c r="BX326" i="1"/>
  <c r="CC326" i="1"/>
  <c r="BZ326" i="1"/>
  <c r="BT326" i="1"/>
  <c r="BW326" i="1"/>
  <c r="BV326" i="1"/>
  <c r="CA326" i="1"/>
  <c r="CB326" i="1"/>
  <c r="BS326" i="1"/>
  <c r="CF326" i="1"/>
  <c r="BV328" i="1"/>
  <c r="BX328" i="1"/>
  <c r="BY328" i="1"/>
  <c r="BW328" i="1"/>
  <c r="CA328" i="1"/>
  <c r="BT328" i="1"/>
  <c r="CB328" i="1"/>
  <c r="CC328" i="1"/>
  <c r="BS328" i="1"/>
  <c r="CF328" i="1"/>
  <c r="BU328" i="1"/>
  <c r="CD328" i="1"/>
  <c r="BZ328" i="1"/>
  <c r="BT331" i="1"/>
  <c r="BS331" i="1"/>
  <c r="CB331" i="1"/>
  <c r="BU331" i="1"/>
  <c r="BZ331" i="1"/>
  <c r="CC331" i="1"/>
  <c r="BX331" i="1"/>
  <c r="CF331" i="1"/>
  <c r="CE331" i="1" s="1"/>
  <c r="BW331" i="1"/>
  <c r="BV331" i="1"/>
  <c r="CD331" i="1"/>
  <c r="BY331" i="1"/>
  <c r="CA331" i="1"/>
  <c r="BY333" i="1"/>
  <c r="BS333" i="1"/>
  <c r="BU333" i="1"/>
  <c r="BT333" i="1"/>
  <c r="CC333" i="1"/>
  <c r="BW333" i="1"/>
  <c r="CD333" i="1"/>
  <c r="BZ333" i="1"/>
  <c r="BX333" i="1"/>
  <c r="CA333" i="1"/>
  <c r="CB333" i="1"/>
  <c r="BV333" i="1"/>
  <c r="CF333" i="1"/>
  <c r="BY329" i="1"/>
  <c r="CC329" i="1"/>
  <c r="BZ329" i="1"/>
  <c r="CD329" i="1"/>
  <c r="CF329" i="1"/>
  <c r="BU329" i="1"/>
  <c r="BV329" i="1"/>
  <c r="BW329" i="1"/>
  <c r="CB329" i="1"/>
  <c r="BX329" i="1"/>
  <c r="BS329" i="1"/>
  <c r="CA329" i="1"/>
  <c r="BT329" i="1"/>
  <c r="BV327" i="1"/>
  <c r="BW327" i="1"/>
  <c r="BT327" i="1"/>
  <c r="CC327" i="1"/>
  <c r="BZ327" i="1"/>
  <c r="BS327" i="1"/>
  <c r="CF327" i="1"/>
  <c r="CA327" i="1"/>
  <c r="CB327" i="1"/>
  <c r="BU327" i="1"/>
  <c r="BY327" i="1"/>
  <c r="BX327" i="1"/>
  <c r="CD327" i="1"/>
  <c r="CC334" i="1"/>
  <c r="BT334" i="1"/>
  <c r="BY334" i="1"/>
  <c r="BX334" i="1"/>
  <c r="BU334" i="1"/>
  <c r="CB334" i="1"/>
  <c r="CA334" i="1"/>
  <c r="CD334" i="1"/>
  <c r="BV334" i="1"/>
  <c r="BS334" i="1"/>
  <c r="CF334" i="1"/>
  <c r="BW334" i="1"/>
  <c r="BZ334" i="1"/>
  <c r="BS330" i="1"/>
  <c r="BT330" i="1"/>
  <c r="CC330" i="1"/>
  <c r="BX330" i="1"/>
  <c r="CH330" i="1"/>
  <c r="BW330" i="1"/>
  <c r="BU330" i="1"/>
  <c r="CD330" i="1"/>
  <c r="BY330" i="1"/>
  <c r="BV330" i="1"/>
  <c r="BZ330" i="1"/>
  <c r="CB330" i="1"/>
  <c r="CA330" i="1"/>
  <c r="CF330" i="1"/>
  <c r="CE330" i="1" s="1"/>
  <c r="BV340" i="1"/>
  <c r="BY340" i="1"/>
  <c r="BS340" i="1"/>
  <c r="CB340" i="1"/>
  <c r="BZ340" i="1"/>
  <c r="BU340" i="1"/>
  <c r="BW340" i="1"/>
  <c r="CC340" i="1"/>
  <c r="CD340" i="1"/>
  <c r="CF340" i="1"/>
  <c r="CE340" i="1" s="1"/>
  <c r="CA340" i="1"/>
  <c r="BT340" i="1"/>
  <c r="BX340" i="1"/>
  <c r="BW335" i="1"/>
  <c r="BS335" i="1"/>
  <c r="BX335" i="1"/>
  <c r="CD335" i="1"/>
  <c r="BV335" i="1"/>
  <c r="BZ335" i="1"/>
  <c r="BU335" i="1"/>
  <c r="BY335" i="1"/>
  <c r="CC335" i="1"/>
  <c r="CA335" i="1"/>
  <c r="CF335" i="1"/>
  <c r="CB335" i="1"/>
  <c r="BT335" i="1"/>
  <c r="CC342" i="1"/>
  <c r="BX342" i="1"/>
  <c r="BU342" i="1"/>
  <c r="BZ342" i="1"/>
  <c r="CB342" i="1"/>
  <c r="CD342" i="1"/>
  <c r="CF342" i="1"/>
  <c r="BV342" i="1"/>
  <c r="CA342" i="1"/>
  <c r="BS342" i="1"/>
  <c r="BW342" i="1"/>
  <c r="BY342" i="1"/>
  <c r="BT342" i="1"/>
  <c r="CD345" i="1"/>
  <c r="CB345" i="1"/>
  <c r="BS345" i="1"/>
  <c r="CF345" i="1"/>
  <c r="BV345" i="1"/>
  <c r="BT345" i="1"/>
  <c r="BX345" i="1"/>
  <c r="BU345" i="1"/>
  <c r="BY345" i="1"/>
  <c r="CC345" i="1"/>
  <c r="BW345" i="1"/>
  <c r="BZ345" i="1"/>
  <c r="CA345" i="1"/>
  <c r="CA346" i="1"/>
  <c r="BU346" i="1"/>
  <c r="CF346" i="1"/>
  <c r="BS346" i="1"/>
  <c r="CB346" i="1"/>
  <c r="CD346" i="1"/>
  <c r="BX346" i="1"/>
  <c r="CC346" i="1"/>
  <c r="BW346" i="1"/>
  <c r="BY346" i="1"/>
  <c r="BZ346" i="1"/>
  <c r="BV346" i="1"/>
  <c r="BT346" i="1"/>
  <c r="BX338" i="1"/>
  <c r="CC338" i="1"/>
  <c r="BS338" i="1"/>
  <c r="BZ338" i="1"/>
  <c r="CF338" i="1"/>
  <c r="CA338" i="1"/>
  <c r="BV338" i="1"/>
  <c r="BW338" i="1"/>
  <c r="CB338" i="1"/>
  <c r="BU338" i="1"/>
  <c r="BY338" i="1"/>
  <c r="BT338" i="1"/>
  <c r="CD338" i="1"/>
  <c r="CA343" i="1"/>
  <c r="BW343" i="1"/>
  <c r="CH343" i="1"/>
  <c r="BT343" i="1"/>
  <c r="BV343" i="1"/>
  <c r="BU343" i="1"/>
  <c r="BY343" i="1"/>
  <c r="CB343" i="1"/>
  <c r="BS343" i="1"/>
  <c r="CC343" i="1"/>
  <c r="CD343" i="1"/>
  <c r="BX343" i="1"/>
  <c r="CF343" i="1"/>
  <c r="CE343" i="1" s="1"/>
  <c r="BZ343" i="1"/>
  <c r="CA344" i="1"/>
  <c r="BZ344" i="1"/>
  <c r="BW344" i="1"/>
  <c r="CC344" i="1"/>
  <c r="BS344" i="1"/>
  <c r="BY344" i="1"/>
  <c r="CD344" i="1"/>
  <c r="BU344" i="1"/>
  <c r="CH344" i="1"/>
  <c r="BX344" i="1"/>
  <c r="BT344" i="1"/>
  <c r="CB344" i="1"/>
  <c r="BV344" i="1"/>
  <c r="CF344" i="1"/>
  <c r="CE344" i="1" s="1"/>
  <c r="BY337" i="1"/>
  <c r="CD337" i="1"/>
  <c r="CA337" i="1"/>
  <c r="BS337" i="1"/>
  <c r="BV337" i="1"/>
  <c r="BX337" i="1"/>
  <c r="CF337" i="1"/>
  <c r="BU337" i="1"/>
  <c r="BZ337" i="1"/>
  <c r="CC337" i="1"/>
  <c r="BW337" i="1"/>
  <c r="BT337" i="1"/>
  <c r="CB337" i="1"/>
  <c r="BU339" i="1"/>
  <c r="BZ339" i="1"/>
  <c r="BX339" i="1"/>
  <c r="CA339" i="1"/>
  <c r="BW339" i="1"/>
  <c r="BS339" i="1"/>
  <c r="BV339" i="1"/>
  <c r="BY339" i="1"/>
  <c r="CB339" i="1"/>
  <c r="BT339" i="1"/>
  <c r="CF339" i="1"/>
  <c r="CD339" i="1"/>
  <c r="CC339" i="1"/>
  <c r="CC341" i="1"/>
  <c r="BW341" i="1"/>
  <c r="BS341" i="1"/>
  <c r="CB341" i="1"/>
  <c r="CA341" i="1"/>
  <c r="BY341" i="1"/>
  <c r="BV341" i="1"/>
  <c r="BT341" i="1"/>
  <c r="CD341" i="1"/>
  <c r="BX341" i="1"/>
  <c r="CF341" i="1"/>
  <c r="BZ341" i="1"/>
  <c r="BU341" i="1"/>
  <c r="CF336" i="1"/>
  <c r="BW336" i="1"/>
  <c r="BV336" i="1"/>
  <c r="BY336" i="1"/>
  <c r="BU336" i="1"/>
  <c r="CC336" i="1"/>
  <c r="BX336" i="1"/>
  <c r="CA336" i="1"/>
  <c r="CD336" i="1"/>
  <c r="CB336" i="1"/>
  <c r="BS336" i="1"/>
  <c r="BT336" i="1"/>
  <c r="BZ336"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189" i="1"/>
  <c r="CE283" i="1"/>
  <c r="CE299" i="1"/>
  <c r="CE254" i="1"/>
  <c r="CE201" i="1"/>
  <c r="CE325" i="1"/>
  <c r="CE199" i="1"/>
  <c r="CE156" i="1"/>
  <c r="CE176" i="1"/>
  <c r="CE275" i="1"/>
  <c r="CE341" i="1"/>
  <c r="CE327" i="1"/>
  <c r="CE262" i="1"/>
  <c r="CE191" i="1"/>
  <c r="CE173" i="1"/>
  <c r="CE249" i="1"/>
  <c r="CE152" i="1"/>
  <c r="CE185" i="1"/>
  <c r="CE179" i="1"/>
  <c r="CE165" i="1"/>
  <c r="CE292" i="1"/>
  <c r="CE321" i="1"/>
  <c r="CE212" i="1"/>
  <c r="CE240" i="1"/>
  <c r="CE169" i="1"/>
  <c r="CE266" i="1"/>
  <c r="CE225" i="1"/>
  <c r="CE310" i="1"/>
  <c r="CE217" i="1"/>
  <c r="CE222" i="1"/>
  <c r="CE337" i="1"/>
  <c r="CE237" i="1"/>
  <c r="CE329" i="1"/>
  <c r="CE277" i="1"/>
  <c r="CE279" i="1"/>
  <c r="CE267" i="1"/>
  <c r="CE157" i="1"/>
  <c r="CE257" i="1"/>
  <c r="CE253" i="1"/>
  <c r="CE151" i="1"/>
  <c r="CE193" i="1"/>
  <c r="CE174" i="1"/>
  <c r="CE226" i="1"/>
  <c r="CE167" i="1"/>
  <c r="CE209" i="1"/>
  <c r="CE188" i="1"/>
  <c r="CE215" i="1"/>
  <c r="CE317" i="1"/>
  <c r="CE149" i="1"/>
  <c r="CE192" i="1"/>
  <c r="CE224" i="1"/>
  <c r="CE339" i="1"/>
  <c r="CE328" i="1"/>
  <c r="CE302" i="1"/>
  <c r="CE271" i="1"/>
  <c r="CE211" i="1"/>
  <c r="CE159" i="1"/>
  <c r="CE183" i="1"/>
  <c r="CE269" i="1"/>
  <c r="CE235" i="1"/>
  <c r="CE180" i="1"/>
  <c r="CE294" i="1"/>
  <c r="CE312" i="1"/>
  <c r="CE248" i="1"/>
  <c r="CE216" i="1"/>
  <c r="BQ229" i="1"/>
  <c r="BR229" i="1" s="1"/>
  <c r="BO229" i="1"/>
  <c r="BP229" i="1" s="1"/>
  <c r="BQ258" i="1"/>
  <c r="BR258" i="1" s="1"/>
  <c r="BO258" i="1"/>
  <c r="BP258" i="1" s="1"/>
  <c r="BQ169" i="1"/>
  <c r="BR169" i="1" s="1"/>
  <c r="BO169" i="1"/>
  <c r="CG260" i="1"/>
  <c r="CR260" i="1"/>
  <c r="CR200" i="1"/>
  <c r="CG200" i="1"/>
  <c r="CG251" i="1"/>
  <c r="CR251" i="1"/>
  <c r="BQ151" i="1"/>
  <c r="BR151" i="1" s="1"/>
  <c r="BO151" i="1"/>
  <c r="BQ178" i="1"/>
  <c r="BR178" i="1" s="1"/>
  <c r="BO178" i="1"/>
  <c r="CR187" i="1"/>
  <c r="CG187" i="1"/>
  <c r="BO228" i="1"/>
  <c r="BQ228" i="1"/>
  <c r="BR228" i="1" s="1"/>
  <c r="BQ235" i="1"/>
  <c r="BR235" i="1" s="1"/>
  <c r="BO235" i="1"/>
  <c r="CE155" i="1"/>
  <c r="BQ174" i="1"/>
  <c r="BR174" i="1" s="1"/>
  <c r="BO174" i="1"/>
  <c r="BO257" i="1"/>
  <c r="BQ257" i="1"/>
  <c r="BR257" i="1" s="1"/>
  <c r="CG206" i="1"/>
  <c r="CR206" i="1"/>
  <c r="CG244" i="1"/>
  <c r="CR244" i="1"/>
  <c r="CE166" i="1"/>
  <c r="BO170" i="1"/>
  <c r="BP170" i="1" s="1"/>
  <c r="BQ170" i="1"/>
  <c r="BR170" i="1" s="1"/>
  <c r="BQ208" i="1"/>
  <c r="BR208" i="1" s="1"/>
  <c r="BO208" i="1"/>
  <c r="BP208" i="1" s="1"/>
  <c r="BO216" i="1"/>
  <c r="BQ216" i="1"/>
  <c r="BR216" i="1" s="1"/>
  <c r="BQ163" i="1"/>
  <c r="BR163" i="1" s="1"/>
  <c r="BO163" i="1"/>
  <c r="BP163" i="1" s="1"/>
  <c r="CR163" i="1"/>
  <c r="CG163" i="1"/>
  <c r="CR175" i="1"/>
  <c r="CG175" i="1"/>
  <c r="BQ239" i="1"/>
  <c r="BR239" i="1" s="1"/>
  <c r="BO239" i="1"/>
  <c r="BP239" i="1" s="1"/>
  <c r="BO237" i="1"/>
  <c r="BQ237" i="1"/>
  <c r="BR237" i="1" s="1"/>
  <c r="BO195" i="1"/>
  <c r="BP195" i="1" s="1"/>
  <c r="BQ195" i="1"/>
  <c r="BR195" i="1" s="1"/>
  <c r="CR246" i="1"/>
  <c r="CG246" i="1"/>
  <c r="BQ177" i="1"/>
  <c r="BR177" i="1" s="1"/>
  <c r="BO177" i="1"/>
  <c r="BP177" i="1" s="1"/>
  <c r="CG177" i="1"/>
  <c r="CR177" i="1"/>
  <c r="CG234" i="1"/>
  <c r="CR234" i="1"/>
  <c r="CG204" i="1"/>
  <c r="CR204" i="1"/>
  <c r="CE153" i="1"/>
  <c r="BQ214" i="1"/>
  <c r="BR214" i="1" s="1"/>
  <c r="BO214" i="1"/>
  <c r="BP214" i="1" s="1"/>
  <c r="BQ226" i="1"/>
  <c r="BR226" i="1" s="1"/>
  <c r="BO226" i="1"/>
  <c r="CR261" i="1"/>
  <c r="CG261" i="1"/>
  <c r="BO166" i="1"/>
  <c r="BQ166" i="1"/>
  <c r="BR166" i="1" s="1"/>
  <c r="BO161" i="1"/>
  <c r="BQ161" i="1"/>
  <c r="BR161" i="1" s="1"/>
  <c r="BO213" i="1"/>
  <c r="BP213" i="1" s="1"/>
  <c r="BQ213" i="1"/>
  <c r="BR213" i="1" s="1"/>
  <c r="BO242" i="1"/>
  <c r="BP242" i="1" s="1"/>
  <c r="BQ242" i="1"/>
  <c r="BR242" i="1" s="1"/>
  <c r="CR205" i="1"/>
  <c r="CG205" i="1"/>
  <c r="BO164" i="1"/>
  <c r="BP164" i="1" s="1"/>
  <c r="BQ164" i="1"/>
  <c r="BR164" i="1" s="1"/>
  <c r="CG160" i="1"/>
  <c r="CR160" i="1"/>
  <c r="BQ160" i="1"/>
  <c r="BR160" i="1" s="1"/>
  <c r="BO160" i="1"/>
  <c r="BP160" i="1" s="1"/>
  <c r="BQ192" i="1"/>
  <c r="BR192" i="1" s="1"/>
  <c r="BO192" i="1"/>
  <c r="CG203" i="1"/>
  <c r="CR203" i="1"/>
  <c r="CR232" i="1"/>
  <c r="CG232" i="1"/>
  <c r="BQ209" i="1"/>
  <c r="BR209" i="1" s="1"/>
  <c r="BO209" i="1"/>
  <c r="CG171" i="1"/>
  <c r="CR171" i="1"/>
  <c r="BO222" i="1"/>
  <c r="BQ222" i="1"/>
  <c r="BR222" i="1" s="1"/>
  <c r="BQ168" i="1"/>
  <c r="BR168" i="1" s="1"/>
  <c r="BO168" i="1"/>
  <c r="BP168" i="1" s="1"/>
  <c r="CE186" i="1"/>
  <c r="BO217" i="1"/>
  <c r="BQ217" i="1"/>
  <c r="BR217" i="1" s="1"/>
  <c r="CG218" i="1"/>
  <c r="CR218" i="1"/>
  <c r="BO183" i="1"/>
  <c r="BQ183" i="1"/>
  <c r="BR183" i="1" s="1"/>
  <c r="CE326" i="1"/>
  <c r="CE265" i="1"/>
  <c r="CE281" i="1"/>
  <c r="CR229" i="1"/>
  <c r="CG229" i="1"/>
  <c r="BO193" i="1"/>
  <c r="BQ193" i="1"/>
  <c r="BR193" i="1" s="1"/>
  <c r="BO194" i="1"/>
  <c r="BP194" i="1" s="1"/>
  <c r="BQ194" i="1"/>
  <c r="BR194" i="1" s="1"/>
  <c r="CR150" i="1"/>
  <c r="CG150" i="1"/>
  <c r="BO159" i="1"/>
  <c r="BQ159" i="1"/>
  <c r="BR159" i="1" s="1"/>
  <c r="BO204" i="1"/>
  <c r="BP204" i="1" s="1"/>
  <c r="BQ204" i="1"/>
  <c r="BR204" i="1" s="1"/>
  <c r="CR227" i="1"/>
  <c r="CG227" i="1"/>
  <c r="BO247" i="1"/>
  <c r="BP247" i="1" s="1"/>
  <c r="BQ247" i="1"/>
  <c r="BR247" i="1" s="1"/>
  <c r="CR247" i="1"/>
  <c r="CG247" i="1"/>
  <c r="BO254" i="1"/>
  <c r="BQ254" i="1"/>
  <c r="BR254" i="1" s="1"/>
  <c r="BQ181" i="1"/>
  <c r="BR181" i="1" s="1"/>
  <c r="BO181" i="1"/>
  <c r="BP181" i="1" s="1"/>
  <c r="BO190" i="1"/>
  <c r="BQ190" i="1"/>
  <c r="BR190" i="1" s="1"/>
  <c r="CR195" i="1"/>
  <c r="CG195" i="1"/>
  <c r="CR214" i="1"/>
  <c r="CG214" i="1"/>
  <c r="BO220" i="1"/>
  <c r="BP220" i="1" s="1"/>
  <c r="BQ220" i="1"/>
  <c r="BR220" i="1" s="1"/>
  <c r="BQ196" i="1"/>
  <c r="BR196" i="1" s="1"/>
  <c r="BO196" i="1"/>
  <c r="BP196" i="1" s="1"/>
  <c r="CE233" i="1"/>
  <c r="BQ244" i="1"/>
  <c r="BR244" i="1" s="1"/>
  <c r="BO244" i="1"/>
  <c r="BP244" i="1" s="1"/>
  <c r="CR182" i="1"/>
  <c r="CG182" i="1"/>
  <c r="CR202" i="1"/>
  <c r="CG202" i="1"/>
  <c r="BO243" i="1"/>
  <c r="BP243" i="1" s="1"/>
  <c r="BQ243" i="1"/>
  <c r="BR243" i="1" s="1"/>
  <c r="BQ205" i="1"/>
  <c r="BR205" i="1" s="1"/>
  <c r="BO205" i="1"/>
  <c r="BP205" i="1" s="1"/>
  <c r="BO207" i="1"/>
  <c r="BQ207" i="1"/>
  <c r="BR207" i="1" s="1"/>
  <c r="BO224" i="1"/>
  <c r="BQ224" i="1"/>
  <c r="BR224" i="1" s="1"/>
  <c r="CG245" i="1"/>
  <c r="CR245" i="1"/>
  <c r="BO260" i="1"/>
  <c r="BP260" i="1" s="1"/>
  <c r="BQ260" i="1"/>
  <c r="BR260" i="1" s="1"/>
  <c r="BQ199" i="1"/>
  <c r="BR199" i="1" s="1"/>
  <c r="BO199" i="1"/>
  <c r="CG220" i="1"/>
  <c r="CR220" i="1"/>
  <c r="CG196" i="1"/>
  <c r="CR196" i="1"/>
  <c r="BQ233" i="1"/>
  <c r="BR233" i="1" s="1"/>
  <c r="BO233" i="1"/>
  <c r="CE230" i="1"/>
  <c r="BO259" i="1"/>
  <c r="BP259" i="1" s="1"/>
  <c r="BQ259" i="1"/>
  <c r="BR259" i="1" s="1"/>
  <c r="CG164" i="1"/>
  <c r="CR164" i="1"/>
  <c r="BQ225" i="1"/>
  <c r="BR225" i="1" s="1"/>
  <c r="BO225" i="1"/>
  <c r="CR154" i="1"/>
  <c r="CG154" i="1"/>
  <c r="BQ176" i="1"/>
  <c r="BR176" i="1" s="1"/>
  <c r="BO176" i="1"/>
  <c r="CE207" i="1"/>
  <c r="BQ245" i="1"/>
  <c r="BR245" i="1" s="1"/>
  <c r="BO245" i="1"/>
  <c r="BP245" i="1" s="1"/>
  <c r="CE172" i="1"/>
  <c r="CR223" i="1"/>
  <c r="CG223" i="1"/>
  <c r="BO187" i="1"/>
  <c r="BP187" i="1" s="1"/>
  <c r="BQ187" i="1"/>
  <c r="BR187" i="1" s="1"/>
  <c r="CE190" i="1"/>
  <c r="BQ215" i="1"/>
  <c r="BR215" i="1" s="1"/>
  <c r="BO215" i="1"/>
  <c r="CE319" i="1"/>
  <c r="CR197" i="1"/>
  <c r="CG197" i="1"/>
  <c r="BQ171" i="1"/>
  <c r="BR171" i="1" s="1"/>
  <c r="BO171" i="1"/>
  <c r="BP171" i="1" s="1"/>
  <c r="CG194" i="1"/>
  <c r="CR194" i="1"/>
  <c r="CE301" i="1"/>
  <c r="BQ186" i="1"/>
  <c r="BR186" i="1" s="1"/>
  <c r="BO186" i="1"/>
  <c r="BQ200" i="1"/>
  <c r="BR200" i="1" s="1"/>
  <c r="BO200" i="1"/>
  <c r="BP200" i="1" s="1"/>
  <c r="BQ238" i="1"/>
  <c r="BR238" i="1" s="1"/>
  <c r="BO238" i="1"/>
  <c r="BP238" i="1" s="1"/>
  <c r="BQ249" i="1"/>
  <c r="BR249" i="1" s="1"/>
  <c r="BO249" i="1"/>
  <c r="CE255" i="1"/>
  <c r="BQ158" i="1"/>
  <c r="BR158" i="1" s="1"/>
  <c r="BO158" i="1"/>
  <c r="BP158" i="1" s="1"/>
  <c r="CR198" i="1"/>
  <c r="CG198" i="1"/>
  <c r="CR250" i="1"/>
  <c r="CG250" i="1"/>
  <c r="BO246" i="1"/>
  <c r="BP246" i="1" s="1"/>
  <c r="BQ246" i="1"/>
  <c r="BR246" i="1" s="1"/>
  <c r="BO149" i="1"/>
  <c r="BQ149" i="1"/>
  <c r="BR149" i="1" s="1"/>
  <c r="BQ206" i="1"/>
  <c r="BR206" i="1" s="1"/>
  <c r="BO206" i="1"/>
  <c r="BP206" i="1" s="1"/>
  <c r="BQ201" i="1"/>
  <c r="BR201" i="1" s="1"/>
  <c r="BO201" i="1"/>
  <c r="CR170" i="1"/>
  <c r="CG170" i="1"/>
  <c r="CG208" i="1"/>
  <c r="CR208" i="1"/>
  <c r="CR221" i="1"/>
  <c r="CG221" i="1"/>
  <c r="BQ230" i="1"/>
  <c r="BR230" i="1" s="1"/>
  <c r="BO230" i="1"/>
  <c r="CR252" i="1"/>
  <c r="CG252" i="1"/>
  <c r="CG241" i="1"/>
  <c r="CR241" i="1"/>
  <c r="BO184" i="1"/>
  <c r="BP184" i="1" s="1"/>
  <c r="BQ184" i="1"/>
  <c r="BR184" i="1" s="1"/>
  <c r="BO232" i="1"/>
  <c r="BP232" i="1" s="1"/>
  <c r="BQ232" i="1"/>
  <c r="BR232" i="1" s="1"/>
  <c r="BQ162" i="1"/>
  <c r="BR162" i="1" s="1"/>
  <c r="BO162" i="1"/>
  <c r="BP162" i="1" s="1"/>
  <c r="BQ223" i="1"/>
  <c r="BR223" i="1" s="1"/>
  <c r="BO223" i="1"/>
  <c r="BP223" i="1" s="1"/>
  <c r="BQ173" i="1"/>
  <c r="BR173" i="1" s="1"/>
  <c r="BO173" i="1"/>
  <c r="BO197" i="1"/>
  <c r="BP197" i="1" s="1"/>
  <c r="BQ197" i="1"/>
  <c r="BR197" i="1" s="1"/>
  <c r="BO250" i="1"/>
  <c r="BP250" i="1" s="1"/>
  <c r="BQ250" i="1"/>
  <c r="BR250" i="1" s="1"/>
  <c r="BO152" i="1"/>
  <c r="BQ152" i="1"/>
  <c r="BR152" i="1" s="1"/>
  <c r="BO241" i="1"/>
  <c r="BP241" i="1" s="1"/>
  <c r="BQ241" i="1"/>
  <c r="BR241" i="1" s="1"/>
  <c r="CE342" i="1"/>
  <c r="CG168" i="1"/>
  <c r="CR168" i="1"/>
  <c r="BO210" i="1"/>
  <c r="BP210" i="1" s="1"/>
  <c r="BQ210" i="1"/>
  <c r="BR210" i="1" s="1"/>
  <c r="BQ255" i="1"/>
  <c r="BR255" i="1" s="1"/>
  <c r="BO255" i="1"/>
  <c r="CG210" i="1"/>
  <c r="CR210" i="1"/>
  <c r="BQ251" i="1"/>
  <c r="BR251" i="1" s="1"/>
  <c r="BO251" i="1"/>
  <c r="BP251" i="1" s="1"/>
  <c r="CE178" i="1"/>
  <c r="BQ248" i="1"/>
  <c r="BR248" i="1" s="1"/>
  <c r="BO248" i="1"/>
  <c r="BQ150" i="1"/>
  <c r="BR150" i="1" s="1"/>
  <c r="BO150" i="1"/>
  <c r="BP150" i="1" s="1"/>
  <c r="BQ180" i="1"/>
  <c r="BR180" i="1" s="1"/>
  <c r="BO180" i="1"/>
  <c r="BQ188" i="1"/>
  <c r="BR188" i="1" s="1"/>
  <c r="BO188" i="1"/>
  <c r="BQ212" i="1"/>
  <c r="BR212" i="1" s="1"/>
  <c r="BO212" i="1"/>
  <c r="BQ153" i="1"/>
  <c r="BR153" i="1" s="1"/>
  <c r="BO153" i="1"/>
  <c r="CG158" i="1"/>
  <c r="CR158" i="1"/>
  <c r="BO261" i="1"/>
  <c r="BP261" i="1" s="1"/>
  <c r="BQ261" i="1"/>
  <c r="BR261" i="1" s="1"/>
  <c r="BO253" i="1"/>
  <c r="BQ253" i="1"/>
  <c r="BR253" i="1" s="1"/>
  <c r="BO182" i="1"/>
  <c r="BP182" i="1" s="1"/>
  <c r="BQ182" i="1"/>
  <c r="BR182" i="1" s="1"/>
  <c r="BQ191" i="1"/>
  <c r="BR191" i="1" s="1"/>
  <c r="BO191" i="1"/>
  <c r="BQ202" i="1"/>
  <c r="BR202" i="1" s="1"/>
  <c r="BO202" i="1"/>
  <c r="BP202" i="1" s="1"/>
  <c r="BQ221" i="1"/>
  <c r="BR221" i="1" s="1"/>
  <c r="BO221" i="1"/>
  <c r="BP221" i="1" s="1"/>
  <c r="CG242" i="1"/>
  <c r="CR242" i="1"/>
  <c r="CG243" i="1"/>
  <c r="CR243" i="1"/>
  <c r="BQ252" i="1"/>
  <c r="BR252" i="1" s="1"/>
  <c r="BO252" i="1"/>
  <c r="BP252" i="1" s="1"/>
  <c r="BO154" i="1"/>
  <c r="BP154" i="1" s="1"/>
  <c r="BQ154" i="1"/>
  <c r="BR154" i="1" s="1"/>
  <c r="BO203" i="1"/>
  <c r="BP203" i="1" s="1"/>
  <c r="BQ203" i="1"/>
  <c r="BR203" i="1" s="1"/>
  <c r="BO156" i="1"/>
  <c r="BQ156" i="1"/>
  <c r="BR156" i="1" s="1"/>
  <c r="CG162" i="1"/>
  <c r="CR162" i="1"/>
  <c r="BQ172" i="1"/>
  <c r="BR172" i="1" s="1"/>
  <c r="BO172" i="1"/>
  <c r="CG239" i="1"/>
  <c r="CR239" i="1"/>
  <c r="BO179" i="1"/>
  <c r="BQ179" i="1"/>
  <c r="BR179" i="1" s="1"/>
  <c r="BQ234" i="1"/>
  <c r="BR234" i="1" s="1"/>
  <c r="BO234" i="1"/>
  <c r="BP234" i="1" s="1"/>
  <c r="CR236" i="1"/>
  <c r="CG236" i="1"/>
  <c r="CR181" i="1"/>
  <c r="CG181" i="1"/>
  <c r="BQ198" i="1"/>
  <c r="BR198" i="1" s="1"/>
  <c r="BO198" i="1"/>
  <c r="BP198" i="1" s="1"/>
  <c r="CE332" i="1"/>
  <c r="CR258" i="1"/>
  <c r="CG258" i="1"/>
  <c r="BO236" i="1"/>
  <c r="BP236" i="1" s="1"/>
  <c r="BQ236" i="1"/>
  <c r="BR236" i="1" s="1"/>
  <c r="CR256" i="1"/>
  <c r="CG256" i="1"/>
  <c r="BO256" i="1"/>
  <c r="BP256" i="1" s="1"/>
  <c r="BQ256" i="1"/>
  <c r="BR256" i="1" s="1"/>
  <c r="CE231" i="1"/>
  <c r="CR238" i="1"/>
  <c r="CG238" i="1"/>
  <c r="BO157" i="1"/>
  <c r="BQ157" i="1"/>
  <c r="BR157" i="1" s="1"/>
  <c r="BQ211" i="1"/>
  <c r="BR211" i="1" s="1"/>
  <c r="BO211" i="1"/>
  <c r="BQ218" i="1"/>
  <c r="BR218" i="1" s="1"/>
  <c r="BO218" i="1"/>
  <c r="BP218" i="1" s="1"/>
  <c r="BQ155" i="1"/>
  <c r="BR155" i="1" s="1"/>
  <c r="BO155" i="1"/>
  <c r="BO189" i="1"/>
  <c r="BQ189" i="1"/>
  <c r="BR189" i="1" s="1"/>
  <c r="CG219" i="1"/>
  <c r="CR219" i="1"/>
  <c r="BO219" i="1"/>
  <c r="BP219" i="1" s="1"/>
  <c r="BQ219" i="1"/>
  <c r="BR219" i="1" s="1"/>
  <c r="BQ227" i="1"/>
  <c r="BR227" i="1" s="1"/>
  <c r="BO227" i="1"/>
  <c r="BP227" i="1" s="1"/>
  <c r="BQ231" i="1"/>
  <c r="BR231" i="1" s="1"/>
  <c r="BO231" i="1"/>
  <c r="BQ165" i="1"/>
  <c r="BR165" i="1" s="1"/>
  <c r="BO165" i="1"/>
  <c r="CR213" i="1"/>
  <c r="CG213" i="1"/>
  <c r="BQ167" i="1"/>
  <c r="BR167" i="1" s="1"/>
  <c r="BO167" i="1"/>
  <c r="BO185" i="1"/>
  <c r="BQ185" i="1"/>
  <c r="BR185" i="1" s="1"/>
  <c r="CG259" i="1"/>
  <c r="CR259" i="1"/>
  <c r="CR184" i="1"/>
  <c r="CG184" i="1"/>
  <c r="BQ240" i="1"/>
  <c r="BR240" i="1" s="1"/>
  <c r="BO240" i="1"/>
  <c r="BO175" i="1"/>
  <c r="BP175" i="1" s="1"/>
  <c r="BQ175" i="1"/>
  <c r="BR175" i="1" s="1"/>
  <c r="BO264" i="1"/>
  <c r="BP264" i="1" s="1"/>
  <c r="BQ264" i="1"/>
  <c r="BR264" i="1" s="1"/>
  <c r="CG278" i="1"/>
  <c r="CR278" i="1"/>
  <c r="BQ301" i="1"/>
  <c r="BR301" i="1" s="1"/>
  <c r="BO301" i="1"/>
  <c r="BO307" i="1"/>
  <c r="BP307" i="1" s="1"/>
  <c r="BQ307" i="1"/>
  <c r="BR307" i="1" s="1"/>
  <c r="BO320" i="1"/>
  <c r="BP320" i="1" s="1"/>
  <c r="BQ320" i="1"/>
  <c r="BR320" i="1" s="1"/>
  <c r="CR289" i="1"/>
  <c r="CG289" i="1"/>
  <c r="BQ268" i="1"/>
  <c r="BR268" i="1" s="1"/>
  <c r="BO268" i="1"/>
  <c r="BQ317" i="1"/>
  <c r="BR317" i="1" s="1"/>
  <c r="BO317" i="1"/>
  <c r="BQ299" i="1"/>
  <c r="BR299" i="1" s="1"/>
  <c r="BO299" i="1"/>
  <c r="CE274" i="1"/>
  <c r="BO275" i="1"/>
  <c r="BQ275" i="1"/>
  <c r="BR275" i="1" s="1"/>
  <c r="BO277" i="1"/>
  <c r="BQ277" i="1"/>
  <c r="BR277" i="1" s="1"/>
  <c r="CG311" i="1"/>
  <c r="CR311" i="1"/>
  <c r="BQ284" i="1"/>
  <c r="BR284" i="1" s="1"/>
  <c r="BO284" i="1"/>
  <c r="BP284" i="1" s="1"/>
  <c r="BO289" i="1"/>
  <c r="BP289" i="1" s="1"/>
  <c r="BQ289" i="1"/>
  <c r="BR289" i="1" s="1"/>
  <c r="CG293" i="1"/>
  <c r="CR293" i="1"/>
  <c r="BQ300" i="1"/>
  <c r="BR300" i="1" s="1"/>
  <c r="BO300" i="1"/>
  <c r="CR308" i="1"/>
  <c r="CG308" i="1"/>
  <c r="BQ321" i="1"/>
  <c r="BR321" i="1" s="1"/>
  <c r="BO321" i="1"/>
  <c r="CR295" i="1"/>
  <c r="CG295" i="1"/>
  <c r="BO303" i="1"/>
  <c r="BP303" i="1" s="1"/>
  <c r="BQ303" i="1"/>
  <c r="BR303" i="1" s="1"/>
  <c r="CE288" i="1"/>
  <c r="CR296" i="1"/>
  <c r="CG296" i="1"/>
  <c r="BQ262" i="1"/>
  <c r="BR262" i="1" s="1"/>
  <c r="BO262" i="1"/>
  <c r="BQ293" i="1"/>
  <c r="BR293" i="1" s="1"/>
  <c r="BO293" i="1"/>
  <c r="BP293" i="1" s="1"/>
  <c r="BO263" i="1"/>
  <c r="BP263" i="1" s="1"/>
  <c r="BQ263" i="1"/>
  <c r="BR263" i="1" s="1"/>
  <c r="CE334" i="1"/>
  <c r="BQ285" i="1"/>
  <c r="BR285" i="1" s="1"/>
  <c r="BO285" i="1"/>
  <c r="BP285" i="1" s="1"/>
  <c r="BQ306" i="1"/>
  <c r="BR306" i="1" s="1"/>
  <c r="BO306" i="1"/>
  <c r="BP306" i="1" s="1"/>
  <c r="BO310" i="1"/>
  <c r="BQ310" i="1"/>
  <c r="BR310" i="1" s="1"/>
  <c r="BO276" i="1"/>
  <c r="BP276" i="1" s="1"/>
  <c r="BQ276" i="1"/>
  <c r="BR276" i="1" s="1"/>
  <c r="CR307" i="1"/>
  <c r="CG307" i="1"/>
  <c r="BQ273" i="1"/>
  <c r="BR273" i="1" s="1"/>
  <c r="BO273" i="1"/>
  <c r="BP273" i="1" s="1"/>
  <c r="BQ305" i="1"/>
  <c r="BR305" i="1" s="1"/>
  <c r="BO305" i="1"/>
  <c r="BP305" i="1" s="1"/>
  <c r="BQ297" i="1"/>
  <c r="BR297" i="1" s="1"/>
  <c r="BO297" i="1"/>
  <c r="BP297" i="1" s="1"/>
  <c r="BO270" i="1"/>
  <c r="BP270" i="1" s="1"/>
  <c r="BQ270" i="1"/>
  <c r="BR270" i="1" s="1"/>
  <c r="BO286" i="1"/>
  <c r="BP286" i="1" s="1"/>
  <c r="BQ286" i="1"/>
  <c r="BR286" i="1" s="1"/>
  <c r="CR313" i="1"/>
  <c r="CG313" i="1"/>
  <c r="CE287" i="1"/>
  <c r="BO302" i="1"/>
  <c r="BQ302" i="1"/>
  <c r="BR302" i="1" s="1"/>
  <c r="BO271" i="1"/>
  <c r="BQ271" i="1"/>
  <c r="BR271" i="1" s="1"/>
  <c r="BQ281" i="1"/>
  <c r="BR281" i="1" s="1"/>
  <c r="BO281" i="1"/>
  <c r="CG284" i="1"/>
  <c r="CR284" i="1"/>
  <c r="CE300" i="1"/>
  <c r="CR291" i="1"/>
  <c r="CG291" i="1"/>
  <c r="BQ313" i="1"/>
  <c r="BR313" i="1" s="1"/>
  <c r="BO313" i="1"/>
  <c r="BP313" i="1" s="1"/>
  <c r="BO272" i="1"/>
  <c r="BP272" i="1" s="1"/>
  <c r="BQ272" i="1"/>
  <c r="BR272" i="1" s="1"/>
  <c r="BO304" i="1"/>
  <c r="BP304" i="1" s="1"/>
  <c r="BQ304" i="1"/>
  <c r="BR304" i="1" s="1"/>
  <c r="CR285" i="1"/>
  <c r="CG285" i="1"/>
  <c r="BO318" i="1"/>
  <c r="BP318" i="1" s="1"/>
  <c r="BQ318" i="1"/>
  <c r="BR318" i="1" s="1"/>
  <c r="CR276" i="1"/>
  <c r="CG276" i="1"/>
  <c r="BQ278" i="1"/>
  <c r="BR278" i="1" s="1"/>
  <c r="BO278" i="1"/>
  <c r="BP278" i="1" s="1"/>
  <c r="BO294" i="1"/>
  <c r="BQ294" i="1"/>
  <c r="BR294" i="1" s="1"/>
  <c r="BO282" i="1"/>
  <c r="BP282" i="1" s="1"/>
  <c r="BQ282" i="1"/>
  <c r="BR282" i="1" s="1"/>
  <c r="BQ308" i="1"/>
  <c r="BR308" i="1" s="1"/>
  <c r="BO308" i="1"/>
  <c r="BP308" i="1" s="1"/>
  <c r="BQ283" i="1"/>
  <c r="BR283" i="1" s="1"/>
  <c r="BO283" i="1"/>
  <c r="CE298" i="1"/>
  <c r="BQ279" i="1"/>
  <c r="BR279" i="1" s="1"/>
  <c r="BO279" i="1"/>
  <c r="BO291" i="1"/>
  <c r="BP291" i="1" s="1"/>
  <c r="BQ291" i="1"/>
  <c r="BR291" i="1" s="1"/>
  <c r="BQ280" i="1"/>
  <c r="BR280" i="1" s="1"/>
  <c r="BO280" i="1"/>
  <c r="BP280" i="1" s="1"/>
  <c r="BO267" i="1"/>
  <c r="BQ267" i="1"/>
  <c r="BR267" i="1" s="1"/>
  <c r="CR286" i="1"/>
  <c r="CG286" i="1"/>
  <c r="BQ316" i="1"/>
  <c r="BR316" i="1" s="1"/>
  <c r="BO316" i="1"/>
  <c r="BP316" i="1" s="1"/>
  <c r="BQ323" i="1"/>
  <c r="BR323" i="1" s="1"/>
  <c r="BO323" i="1"/>
  <c r="CR304" i="1"/>
  <c r="CG304" i="1"/>
  <c r="BQ274" i="1"/>
  <c r="BR274" i="1" s="1"/>
  <c r="BQ292" i="1"/>
  <c r="BR292" i="1" s="1"/>
  <c r="BO292" i="1"/>
  <c r="BQ269" i="1"/>
  <c r="BR269" i="1" s="1"/>
  <c r="BO269" i="1"/>
  <c r="CE314" i="1"/>
  <c r="CR303" i="1"/>
  <c r="CG303" i="1"/>
  <c r="BO265" i="1"/>
  <c r="BQ265" i="1"/>
  <c r="BR265" i="1" s="1"/>
  <c r="BQ288" i="1"/>
  <c r="BR288" i="1" s="1"/>
  <c r="BO288" i="1"/>
  <c r="CG309" i="1"/>
  <c r="CR309" i="1"/>
  <c r="CR320" i="1"/>
  <c r="CG320" i="1"/>
  <c r="BQ296" i="1"/>
  <c r="BR296" i="1" s="1"/>
  <c r="BO296" i="1"/>
  <c r="BP296" i="1" s="1"/>
  <c r="CG273" i="1"/>
  <c r="CR273" i="1"/>
  <c r="CG282" i="1"/>
  <c r="CR282" i="1"/>
  <c r="CR305" i="1"/>
  <c r="CG305" i="1"/>
  <c r="CR297" i="1"/>
  <c r="CG297" i="1"/>
  <c r="CE315" i="1"/>
  <c r="CR263" i="1"/>
  <c r="CG263" i="1"/>
  <c r="CR280" i="1"/>
  <c r="CG280" i="1"/>
  <c r="CR290" i="1"/>
  <c r="CG290" i="1"/>
  <c r="BO274" i="1"/>
  <c r="CR264" i="1"/>
  <c r="CG264" i="1"/>
  <c r="BQ287" i="1"/>
  <c r="BR287" i="1" s="1"/>
  <c r="BO287" i="1"/>
  <c r="CH287" i="1" s="1"/>
  <c r="BQ311" i="1"/>
  <c r="BR311" i="1" s="1"/>
  <c r="BO311" i="1"/>
  <c r="BP311" i="1" s="1"/>
  <c r="CG306" i="1"/>
  <c r="CR306" i="1"/>
  <c r="BQ266" i="1"/>
  <c r="BR266" i="1" s="1"/>
  <c r="BO266" i="1"/>
  <c r="BO298" i="1"/>
  <c r="BQ298" i="1"/>
  <c r="BR298" i="1" s="1"/>
  <c r="BO290" i="1"/>
  <c r="BP290" i="1" s="1"/>
  <c r="BQ290" i="1"/>
  <c r="BR290" i="1" s="1"/>
  <c r="CR272" i="1"/>
  <c r="CG272" i="1"/>
  <c r="BQ295" i="1"/>
  <c r="BR295" i="1" s="1"/>
  <c r="BO295" i="1"/>
  <c r="BP295" i="1" s="1"/>
  <c r="BQ319" i="1"/>
  <c r="BR319" i="1" s="1"/>
  <c r="BO319" i="1"/>
  <c r="CR318" i="1"/>
  <c r="CG318" i="1"/>
  <c r="BQ314" i="1"/>
  <c r="BR314" i="1" s="1"/>
  <c r="BO314" i="1"/>
  <c r="BO322" i="1"/>
  <c r="BQ322" i="1"/>
  <c r="BR322" i="1" s="1"/>
  <c r="BQ309" i="1"/>
  <c r="BR309" i="1" s="1"/>
  <c r="BO309" i="1"/>
  <c r="BP309" i="1" s="1"/>
  <c r="BO315" i="1"/>
  <c r="BQ315" i="1"/>
  <c r="BR315" i="1" s="1"/>
  <c r="CR270" i="1"/>
  <c r="CG270" i="1"/>
  <c r="CR316" i="1"/>
  <c r="CG316" i="1"/>
  <c r="BO312" i="1"/>
  <c r="BQ312" i="1"/>
  <c r="BR312" i="1" s="1"/>
  <c r="CE346" i="1"/>
  <c r="CE345" i="1"/>
  <c r="CE335" i="1"/>
  <c r="CE333" i="1"/>
  <c r="CE324" i="1"/>
  <c r="CE336" i="1"/>
  <c r="BO325" i="1"/>
  <c r="BQ325" i="1"/>
  <c r="BR325" i="1" s="1"/>
  <c r="BO324" i="1"/>
  <c r="BQ324" i="1"/>
  <c r="BR324" i="1" s="1"/>
  <c r="CE338" i="1"/>
  <c r="CR330" i="1"/>
  <c r="CG330" i="1"/>
  <c r="BO328" i="1"/>
  <c r="BQ328" i="1"/>
  <c r="BR328" i="1" s="1"/>
  <c r="BO334" i="1"/>
  <c r="BQ334" i="1"/>
  <c r="BR334" i="1" s="1"/>
  <c r="BQ331" i="1"/>
  <c r="BR331" i="1" s="1"/>
  <c r="BO331" i="1"/>
  <c r="BQ327" i="1"/>
  <c r="BR327" i="1" s="1"/>
  <c r="BO327" i="1"/>
  <c r="BQ326" i="1"/>
  <c r="BR326" i="1" s="1"/>
  <c r="BO326" i="1"/>
  <c r="BO332" i="1"/>
  <c r="BQ332" i="1"/>
  <c r="BR332" i="1" s="1"/>
  <c r="BO333" i="1"/>
  <c r="BQ333" i="1"/>
  <c r="BR333" i="1" s="1"/>
  <c r="BO330" i="1"/>
  <c r="BP330" i="1" s="1"/>
  <c r="BQ330" i="1"/>
  <c r="BR330" i="1" s="1"/>
  <c r="BO329" i="1"/>
  <c r="BQ329" i="1"/>
  <c r="BR329" i="1" s="1"/>
  <c r="BO336" i="1"/>
  <c r="BQ336" i="1"/>
  <c r="BR336" i="1" s="1"/>
  <c r="BQ341" i="1"/>
  <c r="BR341" i="1" s="1"/>
  <c r="BO341" i="1"/>
  <c r="BQ338" i="1"/>
  <c r="BR338" i="1" s="1"/>
  <c r="BO338" i="1"/>
  <c r="BO337" i="1"/>
  <c r="BQ337" i="1"/>
  <c r="BR337" i="1" s="1"/>
  <c r="BQ342" i="1"/>
  <c r="BR342" i="1" s="1"/>
  <c r="BO342" i="1"/>
  <c r="BO339" i="1"/>
  <c r="BQ339" i="1"/>
  <c r="BR339" i="1" s="1"/>
  <c r="BO340" i="1"/>
  <c r="BQ340" i="1"/>
  <c r="BR340" i="1" s="1"/>
  <c r="CG344" i="1"/>
  <c r="CR344" i="1"/>
  <c r="CR343" i="1"/>
  <c r="CG343" i="1"/>
  <c r="BQ344" i="1"/>
  <c r="BR344" i="1" s="1"/>
  <c r="BO344" i="1"/>
  <c r="BP344" i="1" s="1"/>
  <c r="BQ346" i="1"/>
  <c r="BR346" i="1" s="1"/>
  <c r="BO346" i="1"/>
  <c r="BO345" i="1"/>
  <c r="BQ345" i="1"/>
  <c r="BR345" i="1" s="1"/>
  <c r="BQ343" i="1"/>
  <c r="BR343" i="1" s="1"/>
  <c r="BO343" i="1"/>
  <c r="BP343" i="1" s="1"/>
  <c r="BO335" i="1"/>
  <c r="BQ335" i="1"/>
  <c r="BR335"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AV3490" i="31" l="1"/>
  <c r="AU3490" i="31"/>
  <c r="AT3490" i="31" s="1"/>
  <c r="B3492" i="31"/>
  <c r="AS3491" i="31"/>
  <c r="AM3491" i="31"/>
  <c r="AL3491" i="31"/>
  <c r="T3491" i="31" a="1"/>
  <c r="T3491" i="31" s="1"/>
  <c r="U3491" i="31" s="1"/>
  <c r="J3490" i="31"/>
  <c r="D3490" i="31"/>
  <c r="BP254" i="1"/>
  <c r="CH254" i="1"/>
  <c r="BP199" i="1"/>
  <c r="CH199" i="1"/>
  <c r="BP189" i="1"/>
  <c r="CH189" i="1"/>
  <c r="BP325" i="1"/>
  <c r="CH325" i="1"/>
  <c r="BP176" i="1"/>
  <c r="CH176" i="1"/>
  <c r="BP201" i="1"/>
  <c r="CH201" i="1"/>
  <c r="BP299" i="1"/>
  <c r="CH299" i="1"/>
  <c r="BP275" i="1"/>
  <c r="CH275" i="1"/>
  <c r="BP191" i="1"/>
  <c r="CH191" i="1"/>
  <c r="BP228" i="1"/>
  <c r="CH228" i="1"/>
  <c r="BP165" i="1"/>
  <c r="CH165" i="1"/>
  <c r="BP156" i="1"/>
  <c r="CH156" i="1"/>
  <c r="BP173" i="1"/>
  <c r="CH173" i="1"/>
  <c r="BP268" i="1"/>
  <c r="CH268" i="1"/>
  <c r="BP212" i="1"/>
  <c r="CH212" i="1"/>
  <c r="BP310" i="1"/>
  <c r="CH310" i="1"/>
  <c r="BP185" i="1"/>
  <c r="CH185" i="1"/>
  <c r="BP179" i="1"/>
  <c r="CH179" i="1"/>
  <c r="BP225" i="1"/>
  <c r="CH225" i="1"/>
  <c r="BP266" i="1"/>
  <c r="CH266" i="1"/>
  <c r="BP217" i="1"/>
  <c r="CH217" i="1"/>
  <c r="BP337" i="1"/>
  <c r="CH337" i="1"/>
  <c r="BP292" i="1"/>
  <c r="CH292" i="1"/>
  <c r="BP222" i="1"/>
  <c r="CH222" i="1"/>
  <c r="BP240" i="1"/>
  <c r="CH240" i="1"/>
  <c r="BP152" i="1"/>
  <c r="CH152" i="1"/>
  <c r="BP262" i="1"/>
  <c r="CH262" i="1"/>
  <c r="BP321" i="1"/>
  <c r="CH321" i="1"/>
  <c r="BP249" i="1"/>
  <c r="CH249" i="1"/>
  <c r="BP169" i="1"/>
  <c r="CH169" i="1"/>
  <c r="BP149" i="1"/>
  <c r="CH149" i="1"/>
  <c r="BP294" i="1"/>
  <c r="CH294" i="1"/>
  <c r="BP183" i="1"/>
  <c r="CH183" i="1"/>
  <c r="BP209" i="1"/>
  <c r="CH209" i="1"/>
  <c r="BP257" i="1"/>
  <c r="CH257" i="1"/>
  <c r="BP151" i="1"/>
  <c r="CH151" i="1"/>
  <c r="BP235" i="1"/>
  <c r="CH235" i="1"/>
  <c r="BP180" i="1"/>
  <c r="CH180" i="1"/>
  <c r="BP331" i="1"/>
  <c r="CH331" i="1"/>
  <c r="BP269" i="1"/>
  <c r="CH269" i="1"/>
  <c r="BP211" i="1"/>
  <c r="CH211" i="1"/>
  <c r="BP253" i="1"/>
  <c r="CH253" i="1"/>
  <c r="BP224" i="1"/>
  <c r="CH224" i="1"/>
  <c r="BP174" i="1"/>
  <c r="CH174" i="1"/>
  <c r="BP339" i="1"/>
  <c r="CH339" i="1"/>
  <c r="BP329" i="1"/>
  <c r="CH329" i="1"/>
  <c r="BP279" i="1"/>
  <c r="CH279" i="1"/>
  <c r="BP226" i="1"/>
  <c r="CH226" i="1"/>
  <c r="BP312" i="1"/>
  <c r="CH312" i="1"/>
  <c r="BP271" i="1"/>
  <c r="CH271" i="1"/>
  <c r="BP248" i="1"/>
  <c r="CH248" i="1"/>
  <c r="BP215" i="1"/>
  <c r="CH215" i="1"/>
  <c r="BP277" i="1"/>
  <c r="CH277" i="1"/>
  <c r="BP317" i="1"/>
  <c r="CH317" i="1"/>
  <c r="BP167" i="1"/>
  <c r="CH167" i="1"/>
  <c r="BP157" i="1"/>
  <c r="CH157" i="1"/>
  <c r="BP159" i="1"/>
  <c r="CH159" i="1"/>
  <c r="BP193" i="1"/>
  <c r="CH193" i="1"/>
  <c r="BP192" i="1"/>
  <c r="CH192" i="1"/>
  <c r="BP237" i="1"/>
  <c r="CH237" i="1"/>
  <c r="BP267" i="1"/>
  <c r="CH267" i="1"/>
  <c r="BP322" i="1"/>
  <c r="CH322" i="1"/>
  <c r="BP302" i="1"/>
  <c r="CH302" i="1"/>
  <c r="BP188" i="1"/>
  <c r="CH188" i="1"/>
  <c r="BP216" i="1"/>
  <c r="CH216" i="1"/>
  <c r="BP178" i="1"/>
  <c r="CH178" i="1"/>
  <c r="BP207" i="1"/>
  <c r="CH207" i="1"/>
  <c r="CH161" i="1"/>
  <c r="BP161" i="1"/>
  <c r="BP231" i="1"/>
  <c r="CH231" i="1"/>
  <c r="BP166" i="1"/>
  <c r="CH166" i="1"/>
  <c r="BP255" i="1"/>
  <c r="CH255" i="1"/>
  <c r="CH186" i="1"/>
  <c r="BP186" i="1"/>
  <c r="BP172" i="1"/>
  <c r="CH172" i="1"/>
  <c r="BP153" i="1"/>
  <c r="CH153" i="1"/>
  <c r="CH233" i="1"/>
  <c r="BP233" i="1"/>
  <c r="CH190" i="1"/>
  <c r="BP190" i="1"/>
  <c r="BP155" i="1"/>
  <c r="CH155" i="1"/>
  <c r="CH230" i="1"/>
  <c r="BP230" i="1"/>
  <c r="BP283" i="1"/>
  <c r="CH283" i="1"/>
  <c r="BP281" i="1"/>
  <c r="CH281" i="1"/>
  <c r="BP265" i="1"/>
  <c r="CH265" i="1"/>
  <c r="BP319" i="1"/>
  <c r="CH319" i="1"/>
  <c r="BP332" i="1"/>
  <c r="CH332" i="1"/>
  <c r="BP301" i="1"/>
  <c r="CH301" i="1"/>
  <c r="BP326" i="1"/>
  <c r="CH326" i="1"/>
  <c r="BP341" i="1"/>
  <c r="CH341" i="1"/>
  <c r="CH315" i="1"/>
  <c r="BP315" i="1"/>
  <c r="CH288" i="1"/>
  <c r="BP288" i="1"/>
  <c r="CH298" i="1"/>
  <c r="BP298" i="1"/>
  <c r="CH323" i="1"/>
  <c r="BP323" i="1"/>
  <c r="BP300" i="1"/>
  <c r="CH300" i="1"/>
  <c r="BP287" i="1"/>
  <c r="CH274" i="1"/>
  <c r="BP274" i="1"/>
  <c r="CH314" i="1"/>
  <c r="BP314" i="1"/>
  <c r="BP334" i="1"/>
  <c r="CH334" i="1"/>
  <c r="BP340" i="1"/>
  <c r="CH340" i="1"/>
  <c r="BP327" i="1"/>
  <c r="CH327" i="1"/>
  <c r="BP328" i="1"/>
  <c r="CH328" i="1"/>
  <c r="BP346" i="1"/>
  <c r="CH346" i="1"/>
  <c r="BP324" i="1"/>
  <c r="CH324" i="1"/>
  <c r="BP345" i="1"/>
  <c r="CH345" i="1"/>
  <c r="BP335" i="1"/>
  <c r="CH335" i="1"/>
  <c r="BP333" i="1"/>
  <c r="CH333" i="1"/>
  <c r="BP336" i="1"/>
  <c r="CH336" i="1"/>
  <c r="CH338" i="1"/>
  <c r="BP338" i="1"/>
  <c r="CH342" i="1"/>
  <c r="BP342"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D3491" i="31" l="1"/>
  <c r="J3491" i="31"/>
  <c r="B3493" i="31"/>
  <c r="AS3492" i="31"/>
  <c r="AM3492" i="31"/>
  <c r="AL3492" i="31"/>
  <c r="T3492" i="31" a="1"/>
  <c r="T3492" i="31" s="1"/>
  <c r="U3492" i="31" s="1"/>
  <c r="AV3491" i="31"/>
  <c r="AU3491" i="31"/>
  <c r="AT3491" i="31" s="1"/>
  <c r="CG325" i="1"/>
  <c r="CG189" i="1"/>
  <c r="CG199" i="1"/>
  <c r="CG275" i="1"/>
  <c r="CG254" i="1"/>
  <c r="CG176" i="1"/>
  <c r="CG299" i="1"/>
  <c r="CG201" i="1"/>
  <c r="CG169" i="1"/>
  <c r="CG222" i="1"/>
  <c r="CG225" i="1"/>
  <c r="CG173" i="1"/>
  <c r="CG240" i="1"/>
  <c r="CG179" i="1"/>
  <c r="CG249" i="1"/>
  <c r="CG292" i="1"/>
  <c r="CG156" i="1"/>
  <c r="CG266" i="1"/>
  <c r="CG321" i="1"/>
  <c r="CG185" i="1"/>
  <c r="CG165" i="1"/>
  <c r="CG262" i="1"/>
  <c r="CG337" i="1"/>
  <c r="CG310" i="1"/>
  <c r="CG228" i="1"/>
  <c r="CG268" i="1"/>
  <c r="CG152" i="1"/>
  <c r="CG217" i="1"/>
  <c r="CG212" i="1"/>
  <c r="CG191" i="1"/>
  <c r="CG237" i="1"/>
  <c r="CG167" i="1"/>
  <c r="CG226" i="1"/>
  <c r="CG235" i="1"/>
  <c r="CG215" i="1"/>
  <c r="CG211" i="1"/>
  <c r="CG302" i="1"/>
  <c r="CG192" i="1"/>
  <c r="CG317" i="1"/>
  <c r="CG248" i="1"/>
  <c r="CG174" i="1"/>
  <c r="CG269" i="1"/>
  <c r="CG151" i="1"/>
  <c r="CG209" i="1"/>
  <c r="CG294" i="1"/>
  <c r="CG339" i="1"/>
  <c r="CG216" i="1"/>
  <c r="CG188" i="1"/>
  <c r="CG322" i="1"/>
  <c r="CG193" i="1"/>
  <c r="CG277" i="1"/>
  <c r="CG271" i="1"/>
  <c r="CG279" i="1"/>
  <c r="CG224" i="1"/>
  <c r="CG331" i="1"/>
  <c r="CG183" i="1"/>
  <c r="CG149" i="1"/>
  <c r="CG267" i="1"/>
  <c r="CG159" i="1"/>
  <c r="CG157" i="1"/>
  <c r="CG312" i="1"/>
  <c r="CG329" i="1"/>
  <c r="CG253" i="1"/>
  <c r="CG180" i="1"/>
  <c r="CG257" i="1"/>
  <c r="CG341" i="1"/>
  <c r="CG319" i="1"/>
  <c r="CG326" i="1"/>
  <c r="CG166" i="1"/>
  <c r="CG230" i="1"/>
  <c r="CG265" i="1"/>
  <c r="CG155" i="1"/>
  <c r="CG255" i="1"/>
  <c r="CG233" i="1"/>
  <c r="CG172" i="1"/>
  <c r="CG153" i="1"/>
  <c r="CG178" i="1"/>
  <c r="CG207" i="1"/>
  <c r="CG231" i="1"/>
  <c r="CG190" i="1"/>
  <c r="CG161" i="1"/>
  <c r="CG186" i="1"/>
  <c r="CG301" i="1"/>
  <c r="CG281" i="1"/>
  <c r="CG332" i="1"/>
  <c r="CG283" i="1"/>
  <c r="CG323" i="1"/>
  <c r="CG274" i="1"/>
  <c r="CG298" i="1"/>
  <c r="CG288" i="1"/>
  <c r="CG300" i="1"/>
  <c r="CG287" i="1"/>
  <c r="CG315" i="1"/>
  <c r="CG334" i="1"/>
  <c r="CG314" i="1"/>
  <c r="CG327" i="1"/>
  <c r="CG328" i="1"/>
  <c r="CG340" i="1"/>
  <c r="CG335" i="1"/>
  <c r="CG324" i="1"/>
  <c r="CG346" i="1"/>
  <c r="CG333" i="1"/>
  <c r="CG345" i="1"/>
  <c r="CG336" i="1"/>
  <c r="CG338" i="1"/>
  <c r="CG342"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AA7" i="31"/>
  <c r="AA6" i="31"/>
  <c r="CW5" i="1" s="1"/>
  <c r="AA8" i="31"/>
  <c r="Z8" i="31"/>
  <c r="Z6" i="31"/>
  <c r="Z7" i="31"/>
  <c r="Z5" i="31"/>
  <c r="D3517" i="31"/>
  <c r="D13" i="31" s="1"/>
  <c r="J3517" i="31"/>
  <c r="J13" i="31" s="1"/>
  <c r="AT3454" i="31"/>
  <c r="CW30" i="1" l="1"/>
  <c r="CW14" i="1"/>
  <c r="CW20" i="1"/>
  <c r="CW17" i="1"/>
  <c r="CW35" i="1"/>
  <c r="CW28" i="1"/>
  <c r="CW16" i="1"/>
  <c r="CW33" i="1"/>
  <c r="CW31" i="1"/>
  <c r="CW34" i="1"/>
  <c r="CW18" i="1"/>
  <c r="CW12" i="1"/>
  <c r="CW10" i="1"/>
  <c r="CW25" i="1"/>
  <c r="CW21" i="1"/>
  <c r="CW22" i="1"/>
  <c r="CW13" i="1"/>
  <c r="CW29" i="1"/>
  <c r="CW15" i="1"/>
  <c r="CW24" i="1"/>
  <c r="CW32" i="1"/>
  <c r="CW26" i="1"/>
  <c r="CW19" i="1"/>
  <c r="CW11" i="1"/>
  <c r="CW23" i="1"/>
  <c r="CW27" i="1"/>
  <c r="CW290" i="1"/>
  <c r="CW43" i="1"/>
  <c r="CW327" i="1"/>
  <c r="CR327" i="1" s="1"/>
  <c r="CW225" i="1"/>
  <c r="CR225" i="1" s="1"/>
  <c r="CW319" i="1"/>
  <c r="CR319" i="1" s="1"/>
  <c r="CW147" i="1"/>
  <c r="CW344" i="1"/>
  <c r="CW191" i="1"/>
  <c r="CR191" i="1" s="1"/>
  <c r="CW105" i="1"/>
  <c r="CW141" i="1"/>
  <c r="CW270" i="1"/>
  <c r="CW83" i="1"/>
  <c r="CW258" i="1"/>
  <c r="CW159" i="1"/>
  <c r="CR159" i="1" s="1"/>
  <c r="CW90" i="1"/>
  <c r="CW334" i="1"/>
  <c r="CR334" i="1" s="1"/>
  <c r="CW235" i="1"/>
  <c r="CR235" i="1" s="1"/>
  <c r="CW55" i="1"/>
  <c r="CW157" i="1"/>
  <c r="CR157" i="1" s="1"/>
  <c r="CW145" i="1"/>
  <c r="CW307" i="1"/>
  <c r="CW340" i="1"/>
  <c r="CR340" i="1" s="1"/>
  <c r="CW177" i="1"/>
  <c r="CW207" i="1"/>
  <c r="CR207" i="1" s="1"/>
  <c r="CW269" i="1"/>
  <c r="CR269" i="1" s="1"/>
  <c r="CW288" i="1"/>
  <c r="CR288" i="1" s="1"/>
  <c r="CW224" i="1"/>
  <c r="CR224" i="1" s="1"/>
  <c r="CW268" i="1"/>
  <c r="CR268" i="1" s="1"/>
  <c r="CW108" i="1"/>
  <c r="CW47" i="1"/>
  <c r="CW338" i="1"/>
  <c r="CR338" i="1" s="1"/>
  <c r="CW332" i="1"/>
  <c r="CR332" i="1" s="1"/>
  <c r="CW265" i="1"/>
  <c r="CR265" i="1" s="1"/>
  <c r="CW151" i="1"/>
  <c r="CR151" i="1" s="1"/>
  <c r="CW266" i="1"/>
  <c r="CR266" i="1" s="1"/>
  <c r="CW278" i="1"/>
  <c r="CW234" i="1"/>
  <c r="CW111" i="1"/>
  <c r="CW316" i="1"/>
  <c r="CW180" i="1"/>
  <c r="CR180" i="1" s="1"/>
  <c r="CW68" i="1"/>
  <c r="CW171" i="1"/>
  <c r="CW184" i="1"/>
  <c r="CW336" i="1"/>
  <c r="CR336" i="1" s="1"/>
  <c r="CW324" i="1"/>
  <c r="CR324" i="1" s="1"/>
  <c r="CW322" i="1"/>
  <c r="CR322" i="1" s="1"/>
  <c r="CW146" i="1"/>
  <c r="CW218" i="1"/>
  <c r="CW203" i="1"/>
  <c r="CW315" i="1"/>
  <c r="CR315" i="1" s="1"/>
  <c r="CW120" i="1"/>
  <c r="CW227" i="1"/>
  <c r="CW249" i="1"/>
  <c r="CR249" i="1" s="1"/>
  <c r="CW165" i="1"/>
  <c r="CR165" i="1" s="1"/>
  <c r="CW282" i="1"/>
  <c r="CW50" i="1"/>
  <c r="CW333" i="1"/>
  <c r="CR333" i="1" s="1"/>
  <c r="CW339" i="1"/>
  <c r="CR339" i="1" s="1"/>
  <c r="CW9" i="1"/>
  <c r="CW99" i="1"/>
  <c r="CW300" i="1"/>
  <c r="CR300" i="1" s="1"/>
  <c r="CW112" i="1"/>
  <c r="CW142" i="1"/>
  <c r="CW250" i="1"/>
  <c r="CW133" i="1"/>
  <c r="CW123" i="1"/>
  <c r="CW162" i="1"/>
  <c r="CW64" i="1"/>
  <c r="CW78" i="1"/>
  <c r="CW274" i="1"/>
  <c r="CR274" i="1" s="1"/>
  <c r="CW312" i="1"/>
  <c r="CR312" i="1" s="1"/>
  <c r="CW219" i="1"/>
  <c r="CW256" i="1"/>
  <c r="CW70" i="1"/>
  <c r="CW57" i="1"/>
  <c r="CW92" i="1"/>
  <c r="CW262" i="1"/>
  <c r="CR262" i="1" s="1"/>
  <c r="CW299" i="1"/>
  <c r="CR299" i="1" s="1"/>
  <c r="CW122" i="1"/>
  <c r="CW176" i="1"/>
  <c r="CR176" i="1" s="1"/>
  <c r="CW124" i="1"/>
  <c r="CW61" i="1"/>
  <c r="CW51" i="1"/>
  <c r="CW310" i="1"/>
  <c r="CR310" i="1" s="1"/>
  <c r="CW79" i="1"/>
  <c r="CW181" i="1"/>
  <c r="CW56" i="1"/>
  <c r="CW192" i="1"/>
  <c r="CR192" i="1" s="1"/>
  <c r="CW229" i="1"/>
  <c r="CW330" i="1"/>
  <c r="CW62" i="1"/>
  <c r="CW73" i="1"/>
  <c r="CW139" i="1"/>
  <c r="CW215" i="1"/>
  <c r="CR215" i="1" s="1"/>
  <c r="CW209" i="1"/>
  <c r="CR209" i="1" s="1"/>
  <c r="CW125" i="1"/>
  <c r="CW247" i="1"/>
  <c r="CW202" i="1"/>
  <c r="CW186" i="1"/>
  <c r="CR186" i="1" s="1"/>
  <c r="CW254" i="1"/>
  <c r="CR254" i="1" s="1"/>
  <c r="CW200" i="1"/>
  <c r="CW346" i="1"/>
  <c r="CR346" i="1" s="1"/>
  <c r="CW281" i="1"/>
  <c r="CR281" i="1" s="1"/>
  <c r="CW107" i="1"/>
  <c r="CW325" i="1"/>
  <c r="CR325" i="1" s="1"/>
  <c r="CW230" i="1"/>
  <c r="CR230" i="1" s="1"/>
  <c r="CW63" i="1"/>
  <c r="CW236" i="1"/>
  <c r="CW136" i="1"/>
  <c r="CW44" i="1"/>
  <c r="CW121" i="1"/>
  <c r="CW166" i="1"/>
  <c r="CR166" i="1" s="1"/>
  <c r="CW257" i="1"/>
  <c r="CR257" i="1" s="1"/>
  <c r="CW286" i="1"/>
  <c r="CW158" i="1"/>
  <c r="CW66" i="1"/>
  <c r="CW96" i="1"/>
  <c r="CW260" i="1"/>
  <c r="CW132" i="1"/>
  <c r="CW248" i="1"/>
  <c r="CR248" i="1" s="1"/>
  <c r="CW241" i="1"/>
  <c r="CW131" i="1"/>
  <c r="CW309" i="1"/>
  <c r="CW298" i="1"/>
  <c r="CR298" i="1" s="1"/>
  <c r="CW284" i="1"/>
  <c r="CW198" i="1"/>
  <c r="CW251" i="1"/>
  <c r="CW71" i="1"/>
  <c r="CW77" i="1"/>
  <c r="CW130" i="1"/>
  <c r="CW261" i="1"/>
  <c r="CW253" i="1"/>
  <c r="CR253" i="1" s="1"/>
  <c r="CW185" i="1"/>
  <c r="CR185" i="1" s="1"/>
  <c r="CW264" i="1"/>
  <c r="CW221" i="1"/>
  <c r="CW45" i="1"/>
  <c r="CW58" i="1"/>
  <c r="CW297" i="1"/>
  <c r="CW69" i="1"/>
  <c r="CW175" i="1"/>
  <c r="CW295" i="1"/>
  <c r="CW160" i="1"/>
  <c r="CW213" i="1"/>
  <c r="CW296" i="1"/>
  <c r="CW304" i="1"/>
  <c r="CW135" i="1"/>
  <c r="CW205" i="1"/>
  <c r="CW226" i="1"/>
  <c r="CR226" i="1" s="1"/>
  <c r="CW326" i="1"/>
  <c r="CR326" i="1" s="1"/>
  <c r="CW273" i="1"/>
  <c r="CW54" i="1"/>
  <c r="CW152" i="1"/>
  <c r="CR152" i="1" s="1"/>
  <c r="CW88" i="1"/>
  <c r="CW204" i="1"/>
  <c r="CW318" i="1"/>
  <c r="CW279" i="1"/>
  <c r="CR279" i="1" s="1"/>
  <c r="CW228" i="1"/>
  <c r="CR228" i="1" s="1"/>
  <c r="CW259" i="1"/>
  <c r="CW48" i="1"/>
  <c r="CW271" i="1"/>
  <c r="CR271" i="1" s="1"/>
  <c r="CW196" i="1"/>
  <c r="CW243" i="1"/>
  <c r="CW153" i="1"/>
  <c r="CR153" i="1" s="1"/>
  <c r="CW155" i="1"/>
  <c r="CR155" i="1" s="1"/>
  <c r="CW75" i="1"/>
  <c r="CW173" i="1"/>
  <c r="CR173" i="1" s="1"/>
  <c r="CW283" i="1"/>
  <c r="CR283" i="1" s="1"/>
  <c r="CW223" i="1"/>
  <c r="CW82" i="1"/>
  <c r="CW323" i="1"/>
  <c r="CR323" i="1" s="1"/>
  <c r="CW208" i="1"/>
  <c r="CW102" i="1"/>
  <c r="CW113" i="1"/>
  <c r="CW183" i="1"/>
  <c r="CR183" i="1" s="1"/>
  <c r="CW246" i="1"/>
  <c r="CW201" i="1"/>
  <c r="CR201" i="1" s="1"/>
  <c r="CW134" i="1"/>
  <c r="CW331" i="1"/>
  <c r="CR331" i="1" s="1"/>
  <c r="CW275" i="1"/>
  <c r="CR275" i="1" s="1"/>
  <c r="CW276" i="1"/>
  <c r="CW272" i="1"/>
  <c r="CW194" i="1"/>
  <c r="CW149" i="1"/>
  <c r="CR149" i="1" s="1"/>
  <c r="CW292" i="1"/>
  <c r="CR292" i="1" s="1"/>
  <c r="CW178" i="1"/>
  <c r="CR178" i="1" s="1"/>
  <c r="CW140" i="1"/>
  <c r="CW67" i="1"/>
  <c r="CW168" i="1"/>
  <c r="CW320" i="1"/>
  <c r="CW232" i="1"/>
  <c r="CW103" i="1"/>
  <c r="CW277" i="1"/>
  <c r="CR277" i="1" s="1"/>
  <c r="CW115" i="1"/>
  <c r="CW119" i="1"/>
  <c r="CW233" i="1"/>
  <c r="CR233" i="1" s="1"/>
  <c r="CW76" i="1"/>
  <c r="CW126" i="1"/>
  <c r="CW118" i="1"/>
  <c r="CW342" i="1"/>
  <c r="CR342" i="1" s="1"/>
  <c r="CW89" i="1"/>
  <c r="CW84" i="1"/>
  <c r="CW117" i="1"/>
  <c r="CW252" i="1"/>
  <c r="CW8" i="1"/>
  <c r="CW65" i="1"/>
  <c r="CW87" i="1"/>
  <c r="CW93" i="1"/>
  <c r="CW109" i="1"/>
  <c r="CW148" i="1"/>
  <c r="CW174" i="1"/>
  <c r="CR174" i="1" s="1"/>
  <c r="CW306" i="1"/>
  <c r="CW211" i="1"/>
  <c r="CR211" i="1" s="1"/>
  <c r="CW294" i="1"/>
  <c r="CR294" i="1" s="1"/>
  <c r="CW197" i="1"/>
  <c r="CW127" i="1"/>
  <c r="CW302" i="1"/>
  <c r="CR302" i="1" s="1"/>
  <c r="CW104" i="1"/>
  <c r="CW154" i="1"/>
  <c r="CW95" i="1"/>
  <c r="CW150" i="1"/>
  <c r="CW59" i="1"/>
  <c r="CW144" i="1"/>
  <c r="CW244" i="1"/>
  <c r="CW74" i="1"/>
  <c r="CW222" i="1"/>
  <c r="CR222" i="1" s="1"/>
  <c r="CW101" i="1"/>
  <c r="CW138" i="1"/>
  <c r="CW210" i="1"/>
  <c r="CW328" i="1"/>
  <c r="CR328" i="1" s="1"/>
  <c r="CW311" i="1"/>
  <c r="CW129" i="1"/>
  <c r="CW72" i="1"/>
  <c r="CW301" i="1"/>
  <c r="CR301" i="1" s="1"/>
  <c r="CW239" i="1"/>
  <c r="CW337" i="1"/>
  <c r="CR337" i="1" s="1"/>
  <c r="CW280" i="1"/>
  <c r="CW137" i="1"/>
  <c r="CW91" i="1"/>
  <c r="CW86" i="1"/>
  <c r="CW231" i="1"/>
  <c r="CR231" i="1" s="1"/>
  <c r="CW98" i="1"/>
  <c r="CW161" i="1"/>
  <c r="CR161" i="1" s="1"/>
  <c r="CW188" i="1"/>
  <c r="CR188" i="1" s="1"/>
  <c r="CW321" i="1"/>
  <c r="CR321" i="1" s="1"/>
  <c r="CW220" i="1"/>
  <c r="CW100" i="1"/>
  <c r="CW317" i="1"/>
  <c r="CR317" i="1" s="1"/>
  <c r="CW170" i="1"/>
  <c r="CW305" i="1"/>
  <c r="CW313" i="1"/>
  <c r="CW206" i="1"/>
  <c r="CW189" i="1"/>
  <c r="CR189" i="1" s="1"/>
  <c r="CW255" i="1"/>
  <c r="CR255" i="1" s="1"/>
  <c r="CW199" i="1"/>
  <c r="CR199" i="1" s="1"/>
  <c r="CW242" i="1"/>
  <c r="CW110" i="1"/>
  <c r="CW80" i="1"/>
  <c r="CW163" i="1"/>
  <c r="CW287" i="1"/>
  <c r="CR287" i="1" s="1"/>
  <c r="CW195" i="1"/>
  <c r="CW97" i="1"/>
  <c r="CW143" i="1"/>
  <c r="CW60" i="1"/>
  <c r="CW329" i="1"/>
  <c r="CR329" i="1" s="1"/>
  <c r="CW169" i="1"/>
  <c r="CR169" i="1" s="1"/>
  <c r="CW193" i="1"/>
  <c r="CR193" i="1" s="1"/>
  <c r="CW240" i="1"/>
  <c r="CR240" i="1" s="1"/>
  <c r="CW212" i="1"/>
  <c r="CR212" i="1" s="1"/>
  <c r="CW345" i="1"/>
  <c r="CR345" i="1" s="1"/>
  <c r="CW94" i="1"/>
  <c r="CW343" i="1"/>
  <c r="CW164" i="1"/>
  <c r="CW116" i="1"/>
  <c r="CW182" i="1"/>
  <c r="CW308" i="1"/>
  <c r="CW81" i="1"/>
  <c r="CW245" i="1"/>
  <c r="CW285" i="1"/>
  <c r="CW341" i="1"/>
  <c r="CR341" i="1" s="1"/>
  <c r="CW53" i="1"/>
  <c r="CW263" i="1"/>
  <c r="CW303" i="1"/>
  <c r="CW36" i="1"/>
  <c r="CW49" i="1"/>
  <c r="CW42" i="1"/>
  <c r="CW216" i="1"/>
  <c r="CR216" i="1" s="1"/>
  <c r="CW156" i="1"/>
  <c r="CR156" i="1" s="1"/>
  <c r="CW314" i="1"/>
  <c r="CR314" i="1" s="1"/>
  <c r="CW217" i="1"/>
  <c r="CR217" i="1" s="1"/>
  <c r="CW52" i="1"/>
  <c r="CW128" i="1"/>
  <c r="CW39" i="1"/>
  <c r="CW41" i="1"/>
  <c r="CW214" i="1"/>
  <c r="CW172" i="1"/>
  <c r="CR172" i="1" s="1"/>
  <c r="CW293" i="1"/>
  <c r="CW85" i="1"/>
  <c r="CW46" i="1"/>
  <c r="CW190" i="1"/>
  <c r="CR190" i="1" s="1"/>
  <c r="CW38" i="1"/>
  <c r="CW40" i="1"/>
  <c r="CW187" i="1"/>
  <c r="CW238" i="1"/>
  <c r="CW267" i="1"/>
  <c r="CR267" i="1" s="1"/>
  <c r="CW179" i="1"/>
  <c r="CR179" i="1" s="1"/>
  <c r="CW237" i="1"/>
  <c r="CR237" i="1" s="1"/>
  <c r="CW37" i="1"/>
  <c r="CW114" i="1"/>
  <c r="CW106" i="1"/>
  <c r="CW335" i="1"/>
  <c r="CR335" i="1" s="1"/>
  <c r="CW291" i="1"/>
  <c r="CW167" i="1"/>
  <c r="CR167" i="1" s="1"/>
  <c r="CW289" i="1"/>
  <c r="CR5" i="1" l="1"/>
  <c r="BF33" i="10" s="1"/>
  <c r="BV31" i="10" l="1"/>
  <c r="A24" i="10"/>
  <c r="BF34" i="10" s="1"/>
  <c r="BF14" i="10" l="1"/>
  <c r="BF35" i="10"/>
  <c r="BJ27" i="10"/>
  <c r="BH35" i="10" l="1"/>
  <c r="BI35" i="10"/>
  <c r="B36" i="10"/>
  <c r="B23" i="10"/>
  <c r="BF12" i="10"/>
  <c r="BH31" i="10" l="1"/>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AP3502" i="31" l="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J32" i="10" s="1"/>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<sst xmlns="http://schemas.openxmlformats.org/spreadsheetml/2006/main" count="12254" uniqueCount="2314">
  <si>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</si>
  <si>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</si>
  <si>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</si>
  <si>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</si>
  <si>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</si>
  <si>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</si>
  <si>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</si>
  <si>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</si>
  <si>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</si>
  <si>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</si>
  <si>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</si>
  <si>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</si>
  <si>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</si>
  <si>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</si>
  <si>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</si>
  <si>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</si>
  <si>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</si>
  <si>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</si>
  <si>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</si>
  <si>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</si>
  <si>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</si>
  <si>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</si>
  <si>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</si>
  <si>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</si>
  <si>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</si>
  <si>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</si>
  <si>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</si>
  <si>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</si>
  <si>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</si>
  <si>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</si>
  <si>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</si>
  <si>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</si>
  <si>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</si>
  <si>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</si>
  <si>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</si>
  <si>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</si>
  <si>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</si>
  <si>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</si>
  <si>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</si>
  <si>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</si>
  <si>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</si>
  <si>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</si>
  <si>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</si>
  <si>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</si>
  <si>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</si>
  <si>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</si>
  <si>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</si>
  <si>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</si>
  <si>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</si>
  <si>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</si>
  <si>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</si>
  <si>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</si>
  <si>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</si>
  <si>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</si>
  <si>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</si>
  <si>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</si>
  <si>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</si>
  <si>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</si>
  <si>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</si>
  <si>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</si>
  <si>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</si>
  <si>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</si>
  <si>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</si>
  <si>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</si>
  <si>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</si>
  <si>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</si>
  <si>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</si>
  <si>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</si>
  <si>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</si>
  <si>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</si>
  <si>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</si>
  <si>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</si>
  <si>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</si>
  <si>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</si>
  <si>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</si>
  <si>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</si>
  <si>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</si>
  <si>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</si>
  <si>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</si>
  <si>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</si>
  <si>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</si>
  <si>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</si>
  <si>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</si>
  <si>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</si>
  <si>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</si>
  <si>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</si>
  <si>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</si>
  <si>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</si>
  <si>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</si>
  <si>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</si>
  <si>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</si>
  <si>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</si>
  <si>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</si>
  <si>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</si>
  <si>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</si>
  <si>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</si>
  <si>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</si>
  <si>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</si>
  <si>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</si>
  <si>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</si>
  <si>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</si>
  <si>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</si>
  <si>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</si>
  <si>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</si>
  <si>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</si>
  <si>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</si>
  <si>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</si>
  <si>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</si>
  <si>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</si>
  <si>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</si>
  <si>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</si>
  <si>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</si>
  <si>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</si>
  <si>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</si>
  <si>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</si>
  <si>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</si>
  <si>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</si>
  <si>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</si>
  <si>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</si>
  <si>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</si>
  <si>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</si>
  <si>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</si>
  <si>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</si>
  <si>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</si>
  <si>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</si>
  <si>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</si>
  <si>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</si>
  <si>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</si>
  <si>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</si>
  <si>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</si>
  <si>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</si>
  <si>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</si>
  <si>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</si>
  <si>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</si>
  <si>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</si>
  <si>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</si>
  <si>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</si>
  <si>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</si>
  <si>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</si>
  <si>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</si>
  <si>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</si>
  <si>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</si>
  <si>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</si>
  <si>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</si>
  <si>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</si>
  <si>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</si>
  <si>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</si>
  <si>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</si>
  <si>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</si>
  <si>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</si>
  <si>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</si>
  <si>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</si>
  <si>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</si>
  <si>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</si>
  <si>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</si>
  <si>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</si>
  <si>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</si>
  <si>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</si>
  <si>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</si>
  <si>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</si>
  <si>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</si>
  <si>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</si>
  <si>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</si>
  <si>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</si>
  <si>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</si>
  <si>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</si>
  <si>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</si>
  <si>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</si>
  <si>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</si>
  <si>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</si>
  <si>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</si>
  <si>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</si>
  <si>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</si>
  <si>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</si>
  <si>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</si>
  <si>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</si>
  <si>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</si>
  <si>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</si>
  <si>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</si>
  <si>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</si>
  <si>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</si>
  <si>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</si>
  <si>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</si>
  <si>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</si>
  <si>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</si>
  <si>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</si>
  <si>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</si>
  <si>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</si>
  <si>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</si>
  <si>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</si>
  <si>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</si>
  <si>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</si>
  <si>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</si>
  <si>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</si>
  <si>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</si>
  <si>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</si>
  <si>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</si>
  <si>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</si>
  <si>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</si>
  <si>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</si>
  <si>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</si>
  <si>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</si>
  <si>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</si>
  <si>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</si>
  <si>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</si>
  <si>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</si>
  <si>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</si>
  <si>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</si>
  <si>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</si>
  <si>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</si>
  <si>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</si>
  <si>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</si>
  <si>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</si>
  <si>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</si>
  <si>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</si>
  <si>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</si>
  <si>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</si>
  <si>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</si>
  <si>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</si>
  <si>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</si>
  <si>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</si>
  <si>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</si>
  <si>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</si>
  <si>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</si>
  <si>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</si>
  <si>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</si>
  <si>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</si>
  <si>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</si>
  <si>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</si>
  <si>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</si>
  <si>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</si>
  <si>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</si>
  <si>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</si>
  <si>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</si>
  <si>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</si>
  <si>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</si>
  <si>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</si>
  <si>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</si>
  <si>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</si>
  <si>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</si>
  <si>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</si>
  <si>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</si>
  <si>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</si>
  <si>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</si>
  <si>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</si>
  <si>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</si>
  <si>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</si>
  <si>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</si>
  <si>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</si>
  <si>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</si>
  <si>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</si>
  <si>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</si>
  <si>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</si>
  <si>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</si>
  <si>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</si>
  <si>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</si>
  <si>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</si>
  <si>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</si>
  <si>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</si>
  <si>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</si>
  <si>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</si>
  <si>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</si>
  <si>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</si>
  <si>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</si>
  <si>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</si>
  <si>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</si>
  <si>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</si>
  <si>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</si>
  <si>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</si>
  <si>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</si>
  <si>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</si>
  <si>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</si>
  <si>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</si>
  <si>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</si>
  <si>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</si>
  <si>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</si>
  <si>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</si>
  <si>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</si>
  <si>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</si>
  <si>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</si>
  <si>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</si>
  <si>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</si>
  <si>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</si>
  <si>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</si>
  <si>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</si>
  <si>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</si>
  <si>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</si>
  <si>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</si>
  <si>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</si>
  <si>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</si>
  <si>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</si>
  <si>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</si>
  <si>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</si>
  <si>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</si>
  <si>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</si>
  <si>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</si>
  <si>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</si>
  <si>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</si>
  <si>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</si>
  <si>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</si>
  <si>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</si>
  <si>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</si>
  <si>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</si>
  <si>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</si>
  <si>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</si>
  <si>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</si>
  <si>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</si>
  <si>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</si>
  <si>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</si>
  <si>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</si>
  <si>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</si>
  <si>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</si>
  <si>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</si>
  <si>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</si>
  <si>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</si>
  <si>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</si>
  <si>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</si>
  <si>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</si>
  <si>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</si>
  <si>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</si>
  <si>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</si>
  <si>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</si>
  <si>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</si>
  <si>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</si>
  <si>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</si>
  <si>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</si>
  <si>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</si>
  <si>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</si>
  <si>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</si>
  <si>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</si>
  <si>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</si>
  <si>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</si>
  <si>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</si>
  <si>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</si>
  <si>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</si>
  <si>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</si>
  <si>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</si>
  <si>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</si>
  <si>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</si>
  <si>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</si>
  <si>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</si>
  <si>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</si>
  <si>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</si>
  <si>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</si>
  <si>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</si>
  <si>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</si>
  <si>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</si>
  <si>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</si>
  <si>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</si>
  <si>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</si>
  <si>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</si>
  <si>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</si>
  <si>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</si>
  <si>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</si>
  <si>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</si>
  <si>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</si>
  <si>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</si>
  <si>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</si>
  <si>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</si>
  <si>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</si>
  <si>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</si>
  <si>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</si>
  <si>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</si>
  <si>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</si>
  <si>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</si>
  <si>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</si>
  <si>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</si>
  <si>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</si>
  <si>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</si>
  <si>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</si>
  <si>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</si>
  <si>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</si>
  <si>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</si>
  <si>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</si>
  <si>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</si>
  <si>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</si>
  <si>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</si>
  <si>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</si>
  <si>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</si>
  <si>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</si>
  <si>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</si>
  <si>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</si>
  <si>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</si>
  <si>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</si>
  <si>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</si>
  <si>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</si>
  <si>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</si>
  <si>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</si>
  <si>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</si>
  <si>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</si>
  <si>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</si>
  <si>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</si>
  <si>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</si>
  <si>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</si>
  <si>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</si>
  <si>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</si>
  <si>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</si>
  <si>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</si>
  <si>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</si>
  <si>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</si>
  <si>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</si>
  <si>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</si>
  <si>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</si>
  <si>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</si>
  <si>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</si>
  <si>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</si>
  <si>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</si>
  <si>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</si>
  <si>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</si>
  <si>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</si>
  <si>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</si>
  <si>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</si>
  <si>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</si>
  <si>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</si>
  <si>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</si>
  <si>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</si>
  <si>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</si>
  <si>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</si>
  <si>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</si>
  <si>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</si>
  <si>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</si>
  <si>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</si>
  <si>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</si>
  <si>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</si>
  <si>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</si>
  <si>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</si>
  <si>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</si>
  <si>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</si>
  <si>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</si>
  <si>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</si>
  <si>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</si>
  <si>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</si>
  <si>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</si>
  <si>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</si>
  <si>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</si>
  <si>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</si>
  <si>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</si>
  <si>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</si>
  <si>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</si>
  <si>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</si>
  <si>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</si>
  <si>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</si>
  <si>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</si>
  <si>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</si>
  <si>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</si>
  <si>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</si>
  <si>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</si>
  <si>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</si>
  <si>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</si>
  <si>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</si>
  <si>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</si>
  <si>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</si>
  <si>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</si>
  <si>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</si>
  <si>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</si>
  <si>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</si>
  <si>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</si>
  <si>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</si>
  <si>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</si>
  <si>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</si>
  <si>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</si>
  <si>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</si>
  <si>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</si>
  <si>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</si>
  <si>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</si>
  <si>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</si>
  <si>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</si>
  <si>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</si>
  <si>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</si>
  <si>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</si>
  <si>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</si>
  <si>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</si>
  <si>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</si>
  <si>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</si>
  <si>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</si>
  <si>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</si>
  <si>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</si>
  <si>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</si>
  <si>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</si>
  <si>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</si>
  <si>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</si>
  <si>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</si>
  <si>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</si>
  <si>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</si>
  <si>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</si>
  <si>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</si>
  <si>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</si>
  <si>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</si>
  <si>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</si>
  <si>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</si>
  <si>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</si>
  <si>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</si>
  <si>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</si>
  <si>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</si>
  <si>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</si>
  <si>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</si>
  <si>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</si>
  <si>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</si>
  <si>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</si>
  <si>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</si>
  <si>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</si>
  <si>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</si>
  <si>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</si>
  <si>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</si>
  <si>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</si>
  <si>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</si>
  <si>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</si>
  <si>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</si>
  <si>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</si>
  <si>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</si>
  <si>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</si>
  <si>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</si>
  <si>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</si>
  <si>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</si>
  <si>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</si>
  <si>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</si>
  <si>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</si>
  <si>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</si>
  <si>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</si>
  <si>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</si>
  <si>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</si>
  <si>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</si>
  <si>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</si>
  <si>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</si>
  <si>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</si>
  <si>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</si>
  <si>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</si>
  <si>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</si>
  <si>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</si>
  <si>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</si>
  <si>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</si>
  <si>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</si>
  <si>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</si>
  <si>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</si>
  <si>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</si>
  <si>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</si>
  <si>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</si>
  <si>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</si>
  <si>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</si>
  <si>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</si>
  <si>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</si>
  <si>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</si>
  <si>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</si>
  <si>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</si>
  <si>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</si>
  <si>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</si>
  <si>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</si>
  <si>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</si>
  <si>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</si>
  <si>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</si>
  <si>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</si>
  <si>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</si>
  <si>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</si>
  <si>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</si>
  <si>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</si>
  <si>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</si>
  <si>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</si>
  <si>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</si>
  <si>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</si>
  <si>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</si>
  <si>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</si>
  <si>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</si>
  <si>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</si>
  <si>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</si>
  <si>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</si>
  <si>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</si>
  <si>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</si>
  <si>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</si>
  <si>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</si>
  <si>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</si>
  <si>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</si>
  <si>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</si>
  <si>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</si>
  <si>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</si>
  <si>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</si>
  <si>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</si>
  <si>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</si>
  <si>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</si>
  <si>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</si>
  <si>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</si>
  <si>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</si>
  <si>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</si>
  <si>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</si>
  <si>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</si>
  <si>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</si>
  <si>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</si>
  <si>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</si>
  <si>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</si>
  <si>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</si>
  <si>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</si>
  <si>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</si>
  <si>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</si>
  <si>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</si>
  <si>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</si>
  <si>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</si>
  <si>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</si>
  <si>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</si>
  <si>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</si>
  <si>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</si>
  <si>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</si>
  <si>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</si>
  <si>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</si>
  <si>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</si>
  <si>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</si>
  <si>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</si>
  <si>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</si>
  <si>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</si>
  <si>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</si>
  <si>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</si>
  <si>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</si>
  <si>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</si>
  <si>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</si>
  <si>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Octopus Lite 12</t>
  </si>
  <si>
    <t>A 12-month fixed-rate plan with no base charges and 100% renewable energy. Get a $125 usage credit each month your usage is 1,000 kWh or more.</t>
  </si>
  <si>
    <t>A simple 12-month fixed-rate plan designed for lighter energy users. Use 1,000 kWh or more in a billing cycle and youâ€™ll automatically get a $125 usage credit toward your bill. No base charges, 100% renewable power, and transparent pricing.</t>
  </si>
  <si>
    <t>Octo Simple 18</t>
  </si>
  <si>
    <t>Lock in a fixed electricity rate for 18 months with 100% renewable power. Enjoy long-term stability and protection from market ups and downs â€” with no hidden fees, no surprises, and the friendly, award-winning customer service Octopus Energy is known for.</t>
  </si>
  <si>
    <t>https://www.octopusenergy.com/affiliate/ptc</t>
  </si>
  <si>
    <t>Octopus Energy LLC</t>
  </si>
  <si>
    <t>Octo Simple 14</t>
  </si>
  <si>
    <t>Lock in a simple, steady electricity rate for 14 months. With this fixed plan, you get protection from price swings and no hidden fees or surprises on your bill. 100% renewable energy included, backed by Octopus Energyâ€™s award-winning service.</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</si>
  <si>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</si>
  <si>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</si>
  <si>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</si>
  <si>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</si>
  <si>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</si>
  <si>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</si>
  <si>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</si>
  <si>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</si>
  <si>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</si>
  <si>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</si>
  <si>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</si>
  <si>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</si>
  <si>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</si>
  <si>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</si>
  <si>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</si>
  <si>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</si>
  <si>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</si>
  <si>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</si>
  <si>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</si>
  <si>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</si>
  <si>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</si>
  <si>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</si>
  <si>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</si>
  <si>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</si>
  <si>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</si>
  <si>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</si>
  <si>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</si>
  <si>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</si>
  <si>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</si>
  <si>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</si>
  <si>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</si>
  <si>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</si>
  <si>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</si>
  <si>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</si>
  <si>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</si>
  <si>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</si>
  <si>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</si>
  <si>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</si>
  <si>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</si>
  <si>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</si>
  <si>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</si>
  <si>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</si>
  <si>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</si>
  <si>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</si>
  <si>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</si>
  <si>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</si>
  <si>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</si>
  <si>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</si>
  <si>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</si>
  <si>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</si>
  <si>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</si>
  <si>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</si>
  <si>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</si>
  <si>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</si>
  <si>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</si>
  <si>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</si>
  <si>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</si>
  <si>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</si>
  <si>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</si>
  <si>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</si>
  <si>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</si>
  <si>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</si>
  <si>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</si>
  <si>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</si>
  <si>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</si>
  <si>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</si>
  <si>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</si>
  <si>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</si>
  <si>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</si>
  <si>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</si>
  <si>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</si>
  <si>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</si>
  <si>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</si>
  <si>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</si>
  <si>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</si>
  <si>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</si>
  <si>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</si>
  <si>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</si>
  <si>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</si>
  <si>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</si>
  <si>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</si>
  <si>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</si>
  <si>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</si>
  <si>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</si>
  <si>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</si>
  <si>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</si>
  <si>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</si>
  <si>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</si>
  <si>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</si>
  <si>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</si>
  <si>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</si>
  <si>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</si>
  <si>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</si>
  <si>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</si>
  <si>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</si>
  <si>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</si>
  <si>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</si>
  <si>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</si>
  <si>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</si>
  <si>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</si>
  <si>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</si>
  <si>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</si>
  <si>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</si>
  <si>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</si>
  <si>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</si>
  <si>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</si>
  <si>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</si>
  <si>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</si>
  <si>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</si>
  <si>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</si>
  <si>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</si>
  <si>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</si>
  <si>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</si>
  <si>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</si>
  <si>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</si>
  <si>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</si>
  <si>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</si>
  <si>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</si>
  <si>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</si>
  <si>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</si>
  <si>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</si>
  <si>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</si>
  <si>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</si>
  <si>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</si>
  <si>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</si>
  <si>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</si>
  <si>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</si>
  <si>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</si>
  <si>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</si>
  <si>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</si>
  <si>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</si>
  <si>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</si>
  <si>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</si>
  <si>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</si>
  <si>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</si>
  <si>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</si>
  <si>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</si>
  <si>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</si>
  <si>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</si>
  <si>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</si>
  <si>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</si>
  <si>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</si>
  <si>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</si>
  <si>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</si>
  <si>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</si>
  <si>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</si>
  <si>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</si>
  <si>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</si>
  <si>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</si>
  <si>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</si>
  <si>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</si>
  <si>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</si>
  <si>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</si>
  <si>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</si>
  <si>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</si>
  <si>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</si>
  <si>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</si>
  <si>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</si>
  <si>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</si>
  <si>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</si>
  <si>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</si>
  <si>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</si>
  <si>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</si>
  <si>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</si>
  <si>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</si>
  <si>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</si>
  <si>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</si>
  <si>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</si>
  <si>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</si>
  <si>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</si>
  <si>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</si>
  <si>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</si>
  <si>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</si>
  <si>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</si>
  <si>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</si>
  <si>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</si>
  <si>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</si>
  <si>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</si>
  <si>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</si>
  <si>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</si>
  <si>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</si>
  <si>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</si>
  <si>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</si>
  <si>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</si>
  <si>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</si>
  <si>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</si>
  <si>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</si>
  <si>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</si>
  <si>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</si>
  <si>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</si>
  <si>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</si>
  <si>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</si>
  <si>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</si>
  <si>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</si>
  <si>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</si>
  <si>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</si>
  <si>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</si>
  <si>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</si>
  <si>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</si>
  <si>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</si>
  <si>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</si>
  <si>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</si>
  <si>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</si>
  <si>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</si>
  <si>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</si>
  <si>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</si>
  <si>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</si>
  <si>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</si>
  <si>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</si>
  <si>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</si>
  <si>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</si>
  <si>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</si>
  <si>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</si>
  <si>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</si>
  <si>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</si>
  <si>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</si>
  <si>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</si>
  <si>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</si>
  <si>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</si>
  <si>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</si>
  <si>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</si>
  <si>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</si>
  <si>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</si>
  <si>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</si>
  <si>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</si>
  <si>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</si>
  <si>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</si>
  <si>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</si>
  <si>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</si>
  <si>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</si>
  <si>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</si>
  <si>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</si>
  <si>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</si>
  <si>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</si>
  <si>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</si>
  <si>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</si>
  <si>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</si>
  <si>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</si>
  <si>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</si>
  <si>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</si>
  <si>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</si>
  <si>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</si>
  <si>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</si>
  <si>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</si>
  <si>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</si>
  <si>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</si>
  <si>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</si>
  <si>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</si>
  <si>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</si>
  <si>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</si>
  <si>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</si>
  <si>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</si>
  <si>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</si>
  <si>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</si>
  <si>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</si>
  <si>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</si>
  <si>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</si>
  <si>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</si>
  <si>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</si>
  <si>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</si>
  <si>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</si>
  <si>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</si>
  <si>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</si>
  <si>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</si>
  <si>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</si>
  <si>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</si>
  <si>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</si>
  <si>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</si>
  <si>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</si>
  <si>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</si>
  <si>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</si>
  <si>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</si>
  <si>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</si>
  <si>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</si>
  <si>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</si>
  <si>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</si>
  <si>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</si>
  <si>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</si>
  <si>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</si>
  <si>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</si>
  <si>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</si>
  <si>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</si>
  <si>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</si>
  <si>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</si>
  <si>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</si>
  <si>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</si>
  <si>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</si>
  <si>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</si>
  <si>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</si>
  <si>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</si>
  <si>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</si>
  <si>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</si>
  <si>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</si>
  <si>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</si>
  <si>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</si>
  <si>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</si>
  <si>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</si>
  <si>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</si>
  <si>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</si>
  <si>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</si>
  <si>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</si>
  <si>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</si>
  <si>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</si>
  <si>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</si>
  <si>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</si>
  <si>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</si>
  <si>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</si>
  <si>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</si>
  <si>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</si>
  <si>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</si>
  <si>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</si>
  <si>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</si>
  <si>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</si>
  <si>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</si>
  <si>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</si>
  <si>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</si>
  <si>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</si>
  <si>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</si>
  <si>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</si>
  <si>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</si>
  <si>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</si>
  <si>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</si>
  <si>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</si>
  <si>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</si>
  <si>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</si>
  <si>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</si>
  <si>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</si>
  <si>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</si>
  <si>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</si>
  <si>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</si>
  <si>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</si>
  <si>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</si>
  <si>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</si>
  <si>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</si>
  <si>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</si>
  <si>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</si>
  <si>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</si>
  <si>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</si>
  <si>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</si>
  <si>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</si>
  <si>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</si>
  <si>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</si>
  <si>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</si>
  <si>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</si>
  <si>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</si>
  <si>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</si>
  <si>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</si>
  <si>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</si>
  <si>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</si>
  <si>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</si>
  <si>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</si>
  <si>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</si>
  <si>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</si>
  <si>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</si>
  <si>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</si>
  <si>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</si>
  <si>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</si>
  <si>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</si>
  <si>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</si>
  <si>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</si>
  <si>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</si>
  <si>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</si>
  <si>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</si>
  <si>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</si>
  <si>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</si>
  <si>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</si>
  <si>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</si>
  <si>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</si>
  <si>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</si>
  <si>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</si>
  <si>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</si>
  <si>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</si>
  <si>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</si>
  <si>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</si>
  <si>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</si>
  <si>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</si>
  <si>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</si>
  <si>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</si>
  <si>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</si>
  <si>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</si>
  <si>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</si>
  <si>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</si>
  <si>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</si>
  <si>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</si>
  <si>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</si>
  <si>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</si>
  <si>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</si>
  <si>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</si>
  <si>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</si>
  <si>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</si>
  <si>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</si>
  <si>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</si>
  <si>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</si>
  <si>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</si>
  <si>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</si>
  <si>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</si>
  <si>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</si>
  <si>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</si>
  <si>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</si>
  <si>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</si>
  <si>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</si>
  <si>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</si>
  <si>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</si>
  <si>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</si>
  <si>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</si>
  <si>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</si>
  <si>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</si>
  <si>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</si>
  <si>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</si>
  <si>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</si>
  <si>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</si>
  <si>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</si>
  <si>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</si>
  <si>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</si>
  <si>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</si>
  <si>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</si>
  <si>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</si>
  <si>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</si>
  <si>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</si>
  <si>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</si>
  <si>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</si>
  <si>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</si>
  <si>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</si>
  <si>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</si>
  <si>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</si>
  <si>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</si>
  <si>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</si>
  <si>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</si>
  <si>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</si>
  <si>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</si>
  <si>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</si>
  <si>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</si>
  <si>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</si>
  <si>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</si>
  <si>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</si>
  <si>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</si>
  <si>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</si>
  <si>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</si>
  <si>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</si>
  <si>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</si>
  <si>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</si>
  <si>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</si>
  <si>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</si>
  <si>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</si>
  <si>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</si>
  <si>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</si>
  <si>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</si>
  <si>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</si>
  <si>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</si>
  <si>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</si>
  <si>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</si>
  <si>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</si>
  <si>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</si>
  <si>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</si>
  <si>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</si>
  <si>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</si>
  <si>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</si>
  <si>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</si>
  <si>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</si>
  <si>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</si>
  <si>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</si>
  <si>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</si>
  <si>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</si>
  <si>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</si>
  <si>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</si>
  <si>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</si>
  <si>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</si>
  <si>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</si>
  <si>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</si>
  <si>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</si>
  <si>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</si>
  <si>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</si>
  <si>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</si>
  <si>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</si>
  <si>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</si>
  <si>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</si>
  <si>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</si>
  <si>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</si>
  <si>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</si>
  <si>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</si>
  <si>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</si>
  <si>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</si>
  <si>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</si>
  <si>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</si>
  <si>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</si>
  <si>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</si>
  <si>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</si>
  <si>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</si>
  <si>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</si>
  <si>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</si>
  <si>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</si>
  <si>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</si>
  <si>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</si>
  <si>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</si>
  <si>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</si>
  <si>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</si>
  <si>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</si>
  <si>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</si>
  <si>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</si>
  <si>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</si>
  <si>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</si>
  <si>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</si>
  <si>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</si>
  <si>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</si>
  <si>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</si>
  <si>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</si>
  <si>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</si>
  <si>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</si>
  <si>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</si>
  <si>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</si>
  <si>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</si>
  <si>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</si>
  <si>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</si>
  <si>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</si>
  <si>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</si>
  <si>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</si>
  <si>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</si>
  <si>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</si>
  <si>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</si>
  <si>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</si>
  <si>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</si>
  <si>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</si>
  <si>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</si>
  <si>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</si>
  <si>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</si>
  <si>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</si>
  <si>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</si>
  <si>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</si>
  <si>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</si>
  <si>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</si>
  <si>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</si>
  <si>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</si>
  <si>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</si>
  <si>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</si>
  <si>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</si>
  <si>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</si>
  <si>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</si>
  <si>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</si>
  <si>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</si>
  <si>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</si>
  <si>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</si>
  <si>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</si>
  <si>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</si>
  <si>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</si>
  <si>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</si>
  <si>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</si>
  <si>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</si>
  <si>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</si>
  <si>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</si>
  <si>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</si>
  <si>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</si>
  <si>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</si>
  <si>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</si>
  <si>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</si>
  <si>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</si>
  <si>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</si>
  <si>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</si>
  <si>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</si>
  <si>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</si>
  <si>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</si>
  <si>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</si>
  <si>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</si>
  <si>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</si>
  <si>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</si>
  <si>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</si>
  <si>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</si>
  <si>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</si>
  <si>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</si>
  <si>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</si>
  <si>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</si>
  <si>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</si>
  <si>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</si>
  <si>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</si>
  <si>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</si>
  <si>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</si>
  <si>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</si>
  <si>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</si>
  <si>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</si>
  <si>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</si>
  <si>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</si>
  <si>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</si>
  <si>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</si>
  <si>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</si>
  <si>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</si>
  <si>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</si>
  <si>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</si>
  <si>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</si>
  <si>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</si>
  <si>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</si>
  <si>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</si>
  <si>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</si>
  <si>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</si>
  <si>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</si>
  <si>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</si>
  <si>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</si>
  <si>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</si>
  <si>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</si>
  <si>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</si>
  <si>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</si>
  <si>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</si>
  <si>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</si>
  <si>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</si>
  <si>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</si>
  <si>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</si>
  <si>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</si>
  <si>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</si>
  <si>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</si>
  <si>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</si>
  <si>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</si>
  <si>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</si>
  <si>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</si>
  <si>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</si>
  <si>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</si>
  <si>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</si>
  <si>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</si>
  <si>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</si>
  <si>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</si>
  <si>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</si>
  <si>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</si>
  <si>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</si>
  <si>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</si>
  <si>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</si>
  <si>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</si>
  <si>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</si>
  <si>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</si>
  <si>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</si>
  <si>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</si>
  <si>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</si>
  <si>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</si>
  <si>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</si>
  <si>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</si>
  <si>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</si>
  <si>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</si>
  <si>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</si>
  <si>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</si>
  <si>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</si>
  <si>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</si>
  <si>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</si>
  <si>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</si>
  <si>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</si>
  <si>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</si>
  <si>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</si>
  <si>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</si>
  <si>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</si>
  <si>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</si>
  <si>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</si>
  <si>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</si>
  <si>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</si>
  <si>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</si>
  <si>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</si>
  <si>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</si>
  <si>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</si>
  <si>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</si>
  <si>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</si>
  <si>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</si>
  <si>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</si>
  <si>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</si>
  <si>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</si>
  <si>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</si>
  <si>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</si>
  <si>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</si>
  <si>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</si>
  <si>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</si>
  <si>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</si>
  <si>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</si>
  <si>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</si>
  <si>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</si>
  <si>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</si>
  <si>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</si>
  <si>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</si>
  <si>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</si>
  <si>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</si>
  <si>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</si>
  <si>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</si>
  <si>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</si>
  <si>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</si>
  <si>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</si>
  <si>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</si>
  <si>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</si>
  <si>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</si>
  <si>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</si>
  <si>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</si>
  <si>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</si>
  <si>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</si>
  <si>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</si>
  <si>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</si>
  <si>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</si>
  <si>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</si>
  <si>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</si>
  <si>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</si>
  <si>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</si>
  <si>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</si>
  <si>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</si>
  <si>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</si>
  <si>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</si>
  <si>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</si>
  <si>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</si>
  <si>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</si>
  <si>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</si>
  <si>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</si>
  <si>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</si>
  <si>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</si>
  <si>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</si>
  <si>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</si>
  <si>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</si>
  <si>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</si>
  <si>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</si>
  <si>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</si>
  <si>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</si>
  <si>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</si>
  <si>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</si>
  <si>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</si>
  <si>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</si>
  <si>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</si>
  <si>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</si>
  <si>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</si>
  <si>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</si>
  <si>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</si>
  <si>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</si>
  <si>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</si>
  <si>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</si>
  <si>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</si>
  <si>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</si>
  <si>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</si>
  <si>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</si>
  <si>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</si>
  <si>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</si>
  <si>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</si>
  <si>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</si>
  <si>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</si>
  <si>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</si>
  <si>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</si>
  <si>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</si>
  <si>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</si>
  <si>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</si>
  <si>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</si>
  <si>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</si>
  <si>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</si>
  <si>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</si>
  <si>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</si>
  <si>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</si>
  <si>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</si>
  <si>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</si>
  <si>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</si>
  <si>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</si>
  <si>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</si>
  <si>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</si>
  <si>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</si>
  <si>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</si>
  <si>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</si>
  <si>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</si>
  <si>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</si>
  <si>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</si>
  <si>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</si>
  <si>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</si>
  <si>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</si>
  <si>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</si>
  <si>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</si>
  <si>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</si>
  <si>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</si>
  <si>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</si>
  <si>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</si>
  <si>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</si>
  <si>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</si>
  <si>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</si>
  <si>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</si>
  <si>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</si>
  <si>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</si>
  <si>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</si>
  <si>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</si>
  <si>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</si>
  <si>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</si>
  <si>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</si>
  <si>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</si>
  <si>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</si>
  <si>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</si>
  <si>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</si>
  <si>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</si>
  <si>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</si>
  <si>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</si>
  <si>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</si>
  <si>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</si>
  <si>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</si>
  <si>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</si>
  <si>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</si>
  <si>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</si>
  <si>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</si>
  <si>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</si>
  <si>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</si>
  <si>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</si>
  <si>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</si>
  <si>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</si>
  <si>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</si>
  <si>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</si>
  <si>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</si>
  <si>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</si>
  <si>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</si>
  <si>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</si>
  <si>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</si>
  <si>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</si>
  <si>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</si>
  <si>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</si>
  <si>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</si>
  <si>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</si>
  <si>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</si>
  <si>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</si>
  <si>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</si>
  <si>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</si>
  <si>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</si>
  <si>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</si>
  <si>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</si>
  <si>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</si>
  <si>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</si>
  <si>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</si>
  <si>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</si>
  <si>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</si>
  <si>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</si>
  <si>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</si>
  <si>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</si>
  <si>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</si>
  <si>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</si>
  <si>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</si>
  <si>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</si>
  <si>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</si>
  <si>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</si>
  <si>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</si>
  <si>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</si>
  <si>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</si>
  <si>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</si>
  <si>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</si>
  <si>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</si>
  <si>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</si>
  <si>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</si>
  <si>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</si>
  <si>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</si>
  <si>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</si>
  <si>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</si>
  <si>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</si>
  <si>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</si>
  <si>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</si>
  <si>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</si>
  <si>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</si>
  <si>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</si>
  <si>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</si>
  <si>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</si>
  <si>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</si>
  <si>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</si>
  <si>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</si>
  <si>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</si>
  <si>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</si>
  <si>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</si>
  <si>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</si>
  <si>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</si>
  <si>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</si>
  <si>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</si>
  <si>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</si>
  <si>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</si>
  <si>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</si>
  <si>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</si>
  <si>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</si>
  <si>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</si>
  <si>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</si>
  <si>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</si>
  <si>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</si>
  <si>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</si>
  <si>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</si>
  <si>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</si>
  <si>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</si>
  <si>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</si>
  <si>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</si>
  <si>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</si>
  <si>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</si>
  <si>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</si>
  <si>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</si>
  <si>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</si>
  <si>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</si>
  <si>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</si>
  <si>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</si>
  <si>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</si>
  <si>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</si>
  <si>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</si>
  <si>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</si>
  <si>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</si>
  <si>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</si>
  <si>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</si>
  <si>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</si>
  <si>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</si>
  <si>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</si>
  <si>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</si>
  <si>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</si>
  <si>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</si>
  <si>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</si>
  <si>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</si>
  <si>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</si>
  <si>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</si>
  <si>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</si>
  <si>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</si>
  <si>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</si>
  <si>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</si>
  <si>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</si>
  <si>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</si>
  <si>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</si>
  <si>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</si>
  <si>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</si>
  <si>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</si>
  <si>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</si>
  <si>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</si>
  <si>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</si>
  <si>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</si>
  <si>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</si>
  <si>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</si>
  <si>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</si>
  <si>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</si>
  <si>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</si>
  <si>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</si>
  <si>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</si>
  <si>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</si>
  <si>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</si>
  <si>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</si>
  <si>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</si>
  <si>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</si>
  <si>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</si>
  <si>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</si>
  <si>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</si>
  <si>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</si>
  <si>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</si>
  <si>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</si>
  <si>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</si>
  <si>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</si>
  <si>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</si>
  <si>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</si>
  <si>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</si>
  <si>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</si>
  <si>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</si>
  <si>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</si>
  <si>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</si>
  <si>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</si>
  <si>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</si>
  <si>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</si>
  <si>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</si>
  <si>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</si>
  <si>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</si>
  <si>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</si>
  <si>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</si>
  <si>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</si>
  <si>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</si>
  <si>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</si>
  <si>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</si>
  <si>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</si>
  <si>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</si>
  <si>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</si>
  <si>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</si>
  <si>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</si>
  <si>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</si>
  <si>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</si>
  <si>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</si>
  <si>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</si>
  <si>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</si>
  <si>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</si>
  <si>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</si>
  <si>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</si>
  <si>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</si>
  <si>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</si>
  <si>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</si>
  <si>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</si>
  <si>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</si>
  <si>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</si>
  <si>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</si>
  <si>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</si>
  <si>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</si>
  <si>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</si>
  <si>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</si>
  <si>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</si>
  <si>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</si>
  <si>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</si>
  <si>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</si>
  <si>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</si>
  <si>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</si>
  <si>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</si>
  <si>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</si>
  <si>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</si>
  <si>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</si>
  <si>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</si>
  <si>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</si>
  <si>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</si>
  <si>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</si>
  <si>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</si>
  <si>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</si>
  <si>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</si>
  <si>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</si>
  <si>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</si>
  <si>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</si>
  <si>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</si>
  <si>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</si>
  <si>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</si>
  <si>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https://www.apge.com/enroll#/offer?offerCode=SRBTX_CTP_NA_NA_RES_FPR_SD0_T12_NEW&amp;deploymentName=TX%20State%20Rate%20Board</t>
  </si>
  <si>
    <t>Receive credits on your bill when you use more electricity! A credit of $125 dollars will be applied to each monthly billing cycle when your consumption is equal to or greater than 1,000 kWh.</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</si>
  <si>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</si>
  <si>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</si>
  <si>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</si>
  <si>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</si>
  <si>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</si>
  <si>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</si>
  <si>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</si>
  <si>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</si>
  <si>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</si>
  <si>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</si>
  <si>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https://enroll.bkvenergy.com/Home/TOS?productId=50736</t>
  </si>
  <si>
    <t>https://enroll.bkvenergy.com/Home/TOS?productId=50737</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</si>
  <si>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</si>
  <si>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</si>
  <si>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</si>
  <si>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</si>
  <si>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</si>
  <si>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</si>
  <si>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</si>
  <si>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</si>
  <si>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</si>
  <si>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Daisy 13</t>
  </si>
  <si>
    <t>https://enroll.bkvenergy.com/Home/YRAC?productId=50737</t>
  </si>
  <si>
    <t>https://enroll.bkvenergy.com/Home/EFL?productCode=RN00013531&amp;term=13</t>
  </si>
  <si>
    <t>https://enroll.bkvenergy.com/Home/YRAC?productId=50736</t>
  </si>
  <si>
    <t>https://enroll.bkvenergy.com/Home/EFL?productCode=RN00013530&amp;term=13</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</si>
  <si>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</si>
  <si>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</si>
  <si>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</si>
  <si>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</si>
  <si>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</si>
  <si>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</si>
  <si>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</si>
  <si>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</si>
  <si>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</si>
  <si>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</si>
  <si>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</si>
  <si>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</si>
  <si>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</si>
  <si>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</si>
  <si>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</si>
  <si>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</si>
  <si>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Max Saver 12</t>
  </si>
  <si>
    <t>Rhythm will automatically apply a $125 bill credit to your invoice for each billing cycle where usage is at least 1000 kWh.</t>
  </si>
  <si>
    <t>https://api.energytexas.com/api/pricing/offers/latest-offers-efl/23742/?locale=en</t>
  </si>
  <si>
    <t>https://api.energytexas.com/api/pricing/offers/latest-offers-efl/23720/?locale=en</t>
  </si>
  <si>
    <t>https://documents.directenergy.com/dynamic/efl/D1F00183448956C.pdf</t>
  </si>
  <si>
    <t>https://documents.directenergy.com/dynamic/efl/D1F00183449004C.pdf</t>
  </si>
  <si>
    <t>https://documents.directenergy.com/dynamic/efl/D1F00183448948C.pdf</t>
  </si>
  <si>
    <t>https://signup.greenmountain.com/defl/G1F00183202866C.pdf</t>
  </si>
  <si>
    <t>https://signup.greenmountain.com/defl/G1F00183449044D.pdf</t>
  </si>
  <si>
    <t>https://signup.greenmountain.com/defl/G1F00190243341C.pdf</t>
  </si>
  <si>
    <t>https://www.reliant.com/defl/R1F00183203422D.pdf</t>
  </si>
  <si>
    <t>https://www.reliant.com/defl/R1F00183448852D.pdf</t>
  </si>
  <si>
    <t>https://www.reliant.com/defl/R1F00183448924D.pdf</t>
  </si>
  <si>
    <t>https://www.reliant.com/defl/R1F00183448872D.pdf</t>
  </si>
  <si>
    <t>https://www.reliant.com/defl/R1F00190183785C.pdf</t>
  </si>
  <si>
    <t>SQG</t>
  </si>
  <si>
    <t>https://bit.ly/46mfOoQ</t>
  </si>
  <si>
    <t>v20260301.1</t>
  </si>
  <si>
    <t>https://bit.ly/4u5q4vJ</t>
  </si>
  <si>
    <t>Octo Simple 12</t>
  </si>
  <si>
    <t>https://octopusenergy.com/efl/OCTOLITE-12M-CENTERPOINT-LZ_HOUSTON-202606021130</t>
  </si>
  <si>
    <t>https://octopusenergy.com/efl/OCTOLITE-12M-ONCOR-LZ_NORTH-202606021130</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</si>
  <si>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</si>
  <si>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</si>
  <si>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</si>
  <si>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</si>
  <si>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</si>
  <si>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</si>
  <si>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</si>
  <si>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</si>
  <si>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</si>
  <si>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</si>
  <si>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</si>
  <si>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</si>
  <si>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</si>
  <si>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</si>
  <si>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</si>
  <si>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</si>
  <si>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</si>
  <si>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</si>
  <si>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(877) 827-7389</t>
  </si>
  <si>
    <t>https://signup.varsityenergy.com/Home/YRAC?productId=29172&amp;ver=english</t>
  </si>
  <si>
    <t>https://signup.varsityenergy.com/Home/index?ProductCode=RN12000003&amp;Promo=PTC</t>
  </si>
  <si>
    <t>GridPlus 12</t>
  </si>
  <si>
    <t>https://signup.chariotenergy.com//Home/index?ProductCode=RN12004286&amp;Promo=GqAtunAVIGY=</t>
  </si>
  <si>
    <t>https://signup.chariotenergy.com//Home/index?ProductCode=RN12004292&amp;Promo=GqAtunAVIGY=</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</si>
  <si>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</si>
  <si>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</si>
  <si>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</si>
  <si>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</si>
  <si>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</si>
  <si>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</si>
  <si>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</si>
  <si>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</si>
  <si>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</si>
  <si>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</si>
  <si>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</si>
  <si>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</si>
  <si>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</si>
  <si>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</si>
  <si>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</si>
  <si>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</si>
  <si>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</si>
  <si>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</si>
  <si>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</si>
  <si>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</si>
  <si>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</si>
  <si>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</si>
  <si>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</si>
  <si>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</si>
  <si>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</si>
  <si>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</si>
  <si>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</si>
  <si>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</si>
  <si>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</si>
  <si>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</si>
  <si>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</si>
  <si>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</si>
  <si>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</si>
  <si>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</si>
  <si>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</si>
  <si>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</si>
  <si>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</si>
  <si>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</si>
  <si>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</si>
  <si>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</si>
  <si>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</si>
  <si>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</si>
  <si>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</si>
  <si>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</si>
  <si>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</si>
  <si>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</si>
  <si>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</si>
  <si>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</si>
  <si>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</si>
  <si>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</si>
  <si>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</si>
  <si>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</si>
  <si>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</si>
  <si>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</si>
  <si>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</si>
  <si>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</si>
  <si>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</si>
  <si>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</si>
  <si>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No Contract Advantage</t>
  </si>
  <si>
    <t>Get the advantage of no contracts! Leave anytime! Zero fees!</t>
  </si>
  <si>
    <t>SoFed Better Rate - 36</t>
  </si>
  <si>
    <t>https://bit.ly/4u9OJhA</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</si>
  <si>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</si>
  <si>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</si>
  <si>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</si>
  <si>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</si>
  <si>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</si>
  <si>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</si>
  <si>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</si>
  <si>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</si>
  <si>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https://bit.ly/4eQdcTp</t>
  </si>
  <si>
    <t>Smart &amp; Fixed - 36</t>
  </si>
  <si>
    <t>https://bit.ly/4eg6F5o</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</si>
  <si>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</si>
  <si>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</si>
  <si>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</si>
  <si>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</si>
  <si>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</si>
  <si>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</si>
  <si>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</si>
  <si>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</si>
  <si>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</si>
  <si>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</si>
  <si>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</si>
  <si>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</si>
  <si>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</si>
  <si>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</si>
  <si>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</si>
  <si>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</si>
  <si>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</si>
  <si>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</si>
  <si>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</si>
  <si>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</si>
  <si>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</si>
  <si>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</si>
  <si>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</si>
  <si>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</si>
  <si>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</si>
  <si>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</si>
  <si>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</si>
  <si>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</si>
  <si>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</si>
  <si>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</si>
  <si>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</si>
  <si>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</si>
  <si>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</si>
  <si>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</si>
  <si>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</si>
  <si>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</si>
  <si>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https://bit.ly/4xX9oZD</t>
  </si>
  <si>
    <t>https://bit.ly/4gYlLhE</t>
  </si>
  <si>
    <t>SoFed Free Energy Lunch - 12</t>
  </si>
  <si>
    <t>Enjoy a fixed 12-month energy rate PLUS a $0 Energy Charge from 12PM to 1PM seven days a week!</t>
  </si>
  <si>
    <t>https://bit.ly/4vga4qh</t>
  </si>
  <si>
    <t>https://bit.ly/4valmwk</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</si>
  <si>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</si>
  <si>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</si>
  <si>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</si>
  <si>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</si>
  <si>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</si>
  <si>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</si>
  <si>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</si>
  <si>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</si>
  <si>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</si>
  <si>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</si>
  <si>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</si>
  <si>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</si>
  <si>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</si>
  <si>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</si>
  <si>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</si>
  <si>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</si>
  <si>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</si>
  <si>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</si>
  <si>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</si>
  <si>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</si>
  <si>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</si>
  <si>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</si>
  <si>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</si>
  <si>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</si>
  <si>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</si>
  <si>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</si>
  <si>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</si>
  <si>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</si>
  <si>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</si>
  <si>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</si>
  <si>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</si>
  <si>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</si>
  <si>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</si>
  <si>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</si>
  <si>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</si>
  <si>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</si>
  <si>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</si>
  <si>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</si>
  <si>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</si>
  <si>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https://octopusenergy.com/efl/OCTOPUS-FLEX-ONCOR-LZ_NORTH-202607091030</t>
  </si>
  <si>
    <t>https://octopusenergy.com/efl/OCTOPUS-FLEX-CENTERPOINT-LZ_HOUSTON-202607091030</t>
  </si>
  <si>
    <t>https://octopusenergy.com/efl/OCTO-SIMPLE-18-CENTERPOINT-LZ_HOUSTON-202607091030</t>
  </si>
  <si>
    <t>https://octopusenergy.com/efl/OCTO-SIMPLE-18-ONCOR-LZ_NORTH-202607091030</t>
  </si>
  <si>
    <t>https://octopusenergy.com/efl/OCTO-SIMPLE-14-CENTERPOINT-LZ_HOUSTON-202607091030</t>
  </si>
  <si>
    <t>https://octopusenergy.com/efl/OCTO-SIMPLE-14-ONCOR-LZ_NORTH-202607091030</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</si>
  <si>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</si>
  <si>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</si>
  <si>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</si>
  <si>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</si>
  <si>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</si>
  <si>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</si>
  <si>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</si>
  <si>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</si>
  <si>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</si>
  <si>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</si>
  <si>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</si>
  <si>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</si>
  <si>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</si>
  <si>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</si>
  <si>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</si>
  <si>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</si>
  <si>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</si>
  <si>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</si>
  <si>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</si>
  <si>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</si>
  <si>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</si>
  <si>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</si>
  <si>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</si>
  <si>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</si>
  <si>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</si>
  <si>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</si>
  <si>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</si>
  <si>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</si>
  <si>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</si>
  <si>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</si>
  <si>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</si>
  <si>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</si>
  <si>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</si>
  <si>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Bright Nights 11</t>
  </si>
  <si>
    <t>https://signup.chariotenergy.com//Home/index?ProductCode=RNR11000012&amp;Promo=GqAtunAVIGY=</t>
  </si>
  <si>
    <t>https://signup.chariotenergy.com//Home/index?ProductCode=RNR11000013&amp;Promo=GqAtunAVIGY=</t>
  </si>
  <si>
    <t>https://octopusenergy.com/efl/OCTO-SIMPLE-24-CENTERPOINT-LZ_HOUSTON-202607141200</t>
  </si>
  <si>
    <t>https://octopusenergy.com/efl/OCTO-SIMPLE-24-ONCOR-LZ_NORTH-202607141200</t>
  </si>
  <si>
    <t>Pronto Flex 30</t>
  </si>
  <si>
    <t>https://pronto-gridlink.smartgridcis.net/Documents/Download.aspx?ProductDocumentID=840</t>
  </si>
  <si>
    <t>https://pronto-enroll.smartgridcis.net/?aid=ProntoFlex30</t>
  </si>
  <si>
    <t>Ranchero Smart &amp; Fixed - 5</t>
  </si>
  <si>
    <t>https://bit.ly/3T2INdu</t>
  </si>
  <si>
    <t>https://texas.smartenergy.com/docs/efls/output/20260702_F_CPT_SG9-1MNTHBC_M2001.pdf</t>
  </si>
  <si>
    <t>https://texas.smartenergy.com/docs/efls/output/20260702_F_CPT_SG12-1MNTHBC_M2001.pdf</t>
  </si>
  <si>
    <t>https://texas.smartenergy.com/docs/efls/output/20260702_F_CPT_SG24-1MNTHBC_M2001.pdf</t>
  </si>
  <si>
    <t>https://texas.smartenergy.com/docs/efls/output/20260702_F_ONC_SG9-1MNTHBC_M2001.pdf</t>
  </si>
  <si>
    <t>https://texas.smartenergy.com/docs/efls/output/20260702_F_ONC_SG12-1MNTHBC_M2001.pdf</t>
  </si>
  <si>
    <t>https://texas.smartenergy.com/docs/efls/output/20260702_F_ONC_SG24-1MNTHBC_M2001.pdf</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</si>
  <si>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</si>
  <si>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</si>
  <si>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</si>
  <si>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</si>
  <si>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</si>
  <si>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</si>
  <si>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</si>
  <si>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</si>
  <si>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</si>
  <si>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</si>
  <si>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</si>
  <si>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</si>
  <si>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</si>
  <si>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</si>
  <si>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</si>
  <si>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</si>
  <si>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</si>
  <si>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</si>
  <si>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</si>
  <si>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</si>
  <si>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</si>
  <si>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</si>
  <si>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</si>
  <si>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</si>
  <si>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</si>
  <si>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</si>
  <si>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</si>
  <si>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</si>
  <si>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</si>
  <si>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</si>
  <si>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</si>
  <si>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</si>
  <si>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</si>
  <si>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</si>
  <si>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</si>
  <si>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</si>
  <si>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</si>
  <si>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</si>
  <si>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</si>
  <si>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</si>
  <si>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</si>
  <si>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</si>
  <si>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</si>
  <si>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</si>
  <si>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</si>
  <si>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</si>
  <si>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https://bit.ly/4pmdQgl</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</si>
  <si>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</si>
  <si>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</si>
  <si>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</si>
  <si>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</si>
  <si>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</si>
  <si>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</si>
  <si>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</si>
  <si>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</si>
  <si>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</si>
  <si>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</si>
  <si>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</si>
  <si>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</si>
  <si>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</si>
  <si>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https://enroll.cleanskyenergy.com//Home/TOS?productId=44824</t>
  </si>
  <si>
    <t>TOSV1.17_20260304</t>
  </si>
  <si>
    <t>https://enroll.cleanskyenergy.com//Home/TOS?productId=44825</t>
  </si>
  <si>
    <t>https://enroll.cleanskyenergy.com//Home/TOS?productId=44827</t>
  </si>
  <si>
    <t>https://enroll.cleanskyenergy.com//Home/TOS?productId=44828</t>
  </si>
  <si>
    <t>https://enroll.cleanskyenergy.com//Home/TOS?productId=44826</t>
  </si>
  <si>
    <t>https://enroll.cleanskyenergy.com//Home/TOS?productId=44829</t>
  </si>
  <si>
    <t>https://enroll.cleanskyenergy.com//Home/YRAC?productId=44824</t>
  </si>
  <si>
    <t>https://enroll.cleanskyenergy.com//Home/EFL?productCode=RN00001128&amp;promo=&amp;term=12</t>
  </si>
  <si>
    <t>https://enroll.cleanskyenergy.com/Home/index?ProductCode=RN00001128&amp;Promo=PTCHOOSETX&amp;Term=12</t>
  </si>
  <si>
    <t>https://enroll.cleanskyenergy.com//Home/YRAC?productId=44825</t>
  </si>
  <si>
    <t>https://enroll.cleanskyenergy.com//Home/EFL?productCode=RN00001129&amp;promo=&amp;term=24</t>
  </si>
  <si>
    <t>https://enroll.cleanskyenergy.com/Home/index?ProductCode=RN00001129&amp;Promo=PTCHOOSETX&amp;Term=24</t>
  </si>
  <si>
    <t>https://enroll.cleanskyenergy.com//Home/YRAC?productId=44827</t>
  </si>
  <si>
    <t>https://enroll.cleanskyenergy.com//Home/EFL?productCode=RN00001131&amp;promo=&amp;term=12</t>
  </si>
  <si>
    <t>https://enroll.cleanskyenergy.com/Home/index?ProductCode=RN00001131&amp;Promo=PTCHOOSETX&amp;Term=12</t>
  </si>
  <si>
    <t>https://enroll.cleanskyenergy.com//Home/YRAC?productId=44828</t>
  </si>
  <si>
    <t>https://enroll.cleanskyenergy.com//Home/EFL?productCode=RN00001132&amp;promo=&amp;term=24</t>
  </si>
  <si>
    <t>https://enroll.cleanskyenergy.com/Home/index?ProductCode=RN00001132&amp;Promo=PTCHOOSETX&amp;Term=24</t>
  </si>
  <si>
    <t>https://enroll.cleanskyenergy.com//Home/YRAC?productId=44826</t>
  </si>
  <si>
    <t>https://enroll.cleanskyenergy.com//Home/EFL?productCode=RN00001130&amp;promo=&amp;term=36</t>
  </si>
  <si>
    <t>https://enroll.cleanskyenergy.com/Home/index?ProductCode=RN00001130&amp;Promo=PTCHOOSETX&amp;Term=36</t>
  </si>
  <si>
    <t>https://enroll.cleanskyenergy.com//Home/YRAC?productId=44829</t>
  </si>
  <si>
    <t>https://enroll.cleanskyenergy.com//Home/EFL?productCode=RN00001133&amp;promo=&amp;term=36</t>
  </si>
  <si>
    <t>https://enroll.cleanskyenergy.com/Home/index?ProductCode=RN00001133&amp;Promo=PTCHOOSETX&amp;Term=36</t>
  </si>
  <si>
    <t>https://signup.budgetpowertx.com/Home/TOS?productId=34863</t>
  </si>
  <si>
    <t>https://signup.budgetpowertx.com/Home/YRAC?productId=34863</t>
  </si>
  <si>
    <t>https://signup.budgetpowertx.com/Home/EFL?productId=34863&amp;Promo=</t>
  </si>
  <si>
    <t>https://octopusenergy.com/efl/OCTO-SIMPLE-12-CENTERPOINT-LZ_HOUSTON-202607231545</t>
  </si>
  <si>
    <t>https://octopusenergy.com/efl/OCTO-SIMPLE-12-ONCOR-LZ_NORTH-202607231545</t>
  </si>
  <si>
    <t>Ranchero Smart &amp; Fixed - 10</t>
  </si>
  <si>
    <t>https://bit.ly/4bb2sy8</t>
  </si>
  <si>
    <t>https://bit.ly/4gWpsoe</t>
  </si>
  <si>
    <t>https://bit.ly/4vUAgHn</t>
  </si>
  <si>
    <t>https://bit.ly/4pM2ySX</t>
  </si>
  <si>
    <t>https://bit.ly/4pS1jl9</t>
  </si>
  <si>
    <t>https://bit.ly/3TWNgPc</t>
  </si>
  <si>
    <t>https://bit.ly/4pEXBv2</t>
  </si>
  <si>
    <t>https://bit.ly/3TozfK2</t>
  </si>
  <si>
    <t>SoFed Better Rate - 10</t>
  </si>
  <si>
    <t>https://bit.ly/4bGAj24</t>
  </si>
  <si>
    <t>https://bit.ly/4fk1XnZ</t>
  </si>
  <si>
    <t>https://signup.budgetpowertx.com/Home/TOS?productId=34894</t>
  </si>
  <si>
    <t>https://signup.budgetpowertx.com/Home/TOS?productId=34893</t>
  </si>
  <si>
    <t>https://signup.budgetpowertx.com/Home/TOS?productId=34895</t>
  </si>
  <si>
    <t>https://signup.budgetpowertx.com/Home/TOS?productId=34892</t>
  </si>
  <si>
    <t>https://signup.chariotenergy.com//Home/TOS?productId=46674</t>
  </si>
  <si>
    <t>https://signup.chariotenergy.com//Home/TOS?productId=46686</t>
  </si>
  <si>
    <t>https://signup.budgetpowertx.com/Home/YRAC?productId=34894</t>
  </si>
  <si>
    <t>https://signup.budgetpowertx.com/Home/EFL?productId=34894&amp;Promo=</t>
  </si>
  <si>
    <t>https://signup.budgetpowertx.com/Home/YRAC?productId=34893</t>
  </si>
  <si>
    <t>https://signup.budgetpowertx.com/Home/EFL?productId=34893&amp;Promo=</t>
  </si>
  <si>
    <t>https://signup.budgetpowertx.com/Home/YRAC?productId=34895</t>
  </si>
  <si>
    <t>https://signup.budgetpowertx.com/Home/EFL?productId=34895&amp;Promo=</t>
  </si>
  <si>
    <t>https://signup.budgetpowertx.com/Home/YRAC?productId=34892</t>
  </si>
  <si>
    <t>https://signup.budgetpowertx.com/Home/EFL?productId=34892&amp;Promo=</t>
  </si>
  <si>
    <t>https://signup.chariotenergy.com//Home/YRAC?productId=46674</t>
  </si>
  <si>
    <t>https://signup.chariotenergy.com//Home/EFl?productId=46674</t>
  </si>
  <si>
    <t>https://signup.chariotenergy.com//Home/YRAC?productId=46686</t>
  </si>
  <si>
    <t>https://signup.chariotenergy.com//Home/EFl?productId=46686</t>
  </si>
  <si>
    <t>https://eflviewer.companionenergy.com/eflviewer.aspx?lang=EN&amp;prodcode=CEPERK12&amp;tdspcode=CNP&amp;ppid=191521&amp;logid=82372&amp;filename=CNP_CEPERK12_20260729_0000_82372</t>
  </si>
  <si>
    <t>https://eflviewer.frontierutilities.com/eflviewer.aspx?lang=EN&amp;prodcode=FPOWSVR12&amp;tdspcode=CNP&amp;ppid=191519&amp;logid=82378&amp;filename=CNP_FPOWSVR12_20260729_0000_82378</t>
  </si>
  <si>
    <t>https://eflviewer.gexaenergy.com/eflviewer.aspx?lang=EN&amp;prodcode=GXAECOCHI12&amp;tdspcode=CNP&amp;ppid=191520&amp;logid=82366&amp;filename=CNP_GXAECOCHI12_20260729_0000_82366</t>
  </si>
  <si>
    <t>https://88fd201f32c53c2bd0fb-11ba98ed637230a2314ec7c228a44bda.ssl.cf5.rackcdn.com/202607/EFL-20260728-083000-CENTERPT-Essential Infusion Flex (English).pdf</t>
  </si>
  <si>
    <t>https://www.infuseenergy.com/signup/signup-step1/?id=1668976&amp;promotion=NONE&amp;valid=N&amp;referral=&amp;landingpage=ptc</t>
  </si>
  <si>
    <t>https://88fd201f32c53c2bd0fb-11ba98ed637230a2314ec7c228a44bda.ssl.cf5.rackcdn.com/202607/EFL-20260728-083000-ONCORD-Essential Infusion Flex (English).pdf</t>
  </si>
  <si>
    <t>https://www.infuseenergy.com/signup/signup-step1/?id=1668977&amp;promotion=NONE&amp;valid=N&amp;referral=&amp;landingpage=ptc</t>
  </si>
  <si>
    <t>https://88fd201f32c53c2bd0fb-11ba98ed637230a2314ec7c228a44bda.ssl.cf5.rackcdn.com/202607/EFL-20260728-083000-CENTERPT-Essential Infusion Green Flex (English).pdf</t>
  </si>
  <si>
    <t>https://www.infuseenergy.com/signup/signup-step1/?id=1668961&amp;promotion=NONE&amp;valid=N&amp;referral=&amp;landingpage=ptc</t>
  </si>
  <si>
    <t>https://88fd201f32c53c2bd0fb-11ba98ed637230a2314ec7c228a44bda.ssl.cf5.rackcdn.com/202607/EFL-20260728-083000-ONCORD-Essential Infusion Green Flex (English).pdf</t>
  </si>
  <si>
    <t>https://www.infuseenergy.com/signup/signup-step1/?id=1668962&amp;promotion=NONE&amp;valid=N&amp;referral=&amp;landingpage=ptc</t>
  </si>
  <si>
    <t>https://88fd201f32c53c2bd0fb-11ba98ed637230a2314ec7c228a44bda.ssl.cf5.rackcdn.com/202607/EFL-20260728-083000-CENTERPT-PTC Green Infusion Flex (English).pdf</t>
  </si>
  <si>
    <t>https://www.infuseenergy.com/signup/signup-step1/?id=1669006&amp;promotion=NONE&amp;valid=N&amp;referral=&amp;landingpage=ptc</t>
  </si>
  <si>
    <t>https://88fd201f32c53c2bd0fb-11ba98ed637230a2314ec7c228a44bda.ssl.cf5.rackcdn.com/202607/EFL-20260728-083000-ONCORD-PTC Green Infusion Flex (English).pdf</t>
  </si>
  <si>
    <t>https://www.infuseenergy.com/signup/signup-step1/?id=1669007&amp;promotion=NONE&amp;valid=N&amp;referral=&amp;landingpage=ptc</t>
  </si>
  <si>
    <t>https://88fd201f32c53c2bd0fb-11ba98ed637230a2314ec7c228a44bda.ssl.cf5.rackcdn.com/202607/EFL-20260728-083000-CENTERPT-PTC Infusion Flex (English).pdf</t>
  </si>
  <si>
    <t>https://www.infuseenergy.com/signup/signup-step1/?id=1669011&amp;promotion=NONE&amp;valid=N&amp;referral=&amp;landingpage=ptc</t>
  </si>
  <si>
    <t>https://88fd201f32c53c2bd0fb-11ba98ed637230a2314ec7c228a44bda.ssl.cf5.rackcdn.com/202607/EFL-20260728-083000-ONCORD-PTC Infusion Flex (English).pdf</t>
  </si>
  <si>
    <t>https://www.infuseenergy.com/signup/signup-step1/?id=1669012&amp;promotion=NONE&amp;valid=N&amp;referral=&amp;landingpage=ptc</t>
  </si>
  <si>
    <t>https://88fd201f32c53c2bd0fb-11ba98ed637230a2314ec7c228a44bda.ssl.cf5.rackcdn.com/202607/EFL-20260728-083000-CENTERPT-Essential Infusion 3 (English).pdf</t>
  </si>
  <si>
    <t>https://www.infuseenergy.com/signup/signup-step1/?id=1668991&amp;promotion=NONE&amp;valid=N&amp;referral=&amp;landingpage=ptc</t>
  </si>
  <si>
    <t>https://88fd201f32c53c2bd0fb-11ba98ed637230a2314ec7c228a44bda.ssl.cf5.rackcdn.com/202607/EFL-20260728-083000-ONCORD-Essential Infusion 3 (English).pdf</t>
  </si>
  <si>
    <t>https://www.infuseenergy.com/signup/signup-step1/?id=1668992&amp;promotion=NONE&amp;valid=N&amp;referral=&amp;landingpage=ptc</t>
  </si>
  <si>
    <t>https://88fd201f32c53c2bd0fb-11ba98ed637230a2314ec7c228a44bda.ssl.cf5.rackcdn.com/202607/EFL-20260728-083000-CENTERPT-Essential Infusion 6 (English).pdf</t>
  </si>
  <si>
    <t>https://www.infuseenergy.com/signup/signup-step1/?id=1668996&amp;promotion=NONE&amp;valid=N&amp;referral=&amp;landingpage=ptc</t>
  </si>
  <si>
    <t>https://88fd201f32c53c2bd0fb-11ba98ed637230a2314ec7c228a44bda.ssl.cf5.rackcdn.com/202607/EFL-20260728-083000-ONCORD-Essential Infusion 6 (English).pdf</t>
  </si>
  <si>
    <t>https://www.infuseenergy.com/signup/signup-step1/?id=1668997&amp;promotion=NONE&amp;valid=N&amp;referral=&amp;landingpage=ptc</t>
  </si>
  <si>
    <t>https://88fd201f32c53c2bd0fb-11ba98ed637230a2314ec7c228a44bda.ssl.cf5.rackcdn.com/202607/EFL-20260728-083000-CENTERPT-Essential Infusion 12 (English).pdf</t>
  </si>
  <si>
    <t>https://www.infuseenergy.com/signup/signup-step1/?id=1668966&amp;promotion=NONE&amp;valid=N&amp;referral=&amp;landingpage=ptc</t>
  </si>
  <si>
    <t>https://88fd201f32c53c2bd0fb-11ba98ed637230a2314ec7c228a44bda.ssl.cf5.rackcdn.com/202607/EFL-20260728-083000-ONCORD-Essential Infusion 12 (English).pdf</t>
  </si>
  <si>
    <t>https://www.infuseenergy.com/signup/signup-step1/?id=1668967&amp;promotion=NONE&amp;valid=N&amp;referral=&amp;landingpage=ptc</t>
  </si>
  <si>
    <t>https://88fd201f32c53c2bd0fb-11ba98ed637230a2314ec7c228a44bda.ssl.cf5.rackcdn.com/202607/EFL-20260728-083000-CENTERPT-Essential Infusion 24 (English).pdf</t>
  </si>
  <si>
    <t>https://www.infuseenergy.com/signup/signup-step1/?id=1668981&amp;promotion=NONE&amp;valid=N&amp;referral=&amp;landingpage=ptc</t>
  </si>
  <si>
    <t>https://88fd201f32c53c2bd0fb-11ba98ed637230a2314ec7c228a44bda.ssl.cf5.rackcdn.com/202607/EFL-20260728-083000-ONCORD-Essential Infusion 24 (English).pdf</t>
  </si>
  <si>
    <t>https://www.infuseenergy.com/signup/signup-step1/?id=1668982&amp;promotion=NONE&amp;valid=N&amp;referral=&amp;landingpage=ptc</t>
  </si>
  <si>
    <t>https://88fd201f32c53c2bd0fb-11ba98ed637230a2314ec7c228a44bda.ssl.cf5.rackcdn.com/202607/EFL-20260728-083000-CENTERPT-Essential Infusion 36 (English).pdf</t>
  </si>
  <si>
    <t>https://www.infuseenergy.com/signup/signup-step1/?id=1668986&amp;promotion=NONE&amp;valid=N&amp;referral=&amp;landingpage=ptc</t>
  </si>
  <si>
    <t>https://88fd201f32c53c2bd0fb-11ba98ed637230a2314ec7c228a44bda.ssl.cf5.rackcdn.com/202607/EFL-20260728-083000-ONCORD-Essential Infusion 36 (English).pdf</t>
  </si>
  <si>
    <t>https://www.infuseenergy.com/signup/signup-step1/?id=1668987&amp;promotion=NONE&amp;valid=N&amp;referral=&amp;landingpage=ptc</t>
  </si>
  <si>
    <t>https://bit.ly/3RBNYRa</t>
  </si>
  <si>
    <t>https://bit.ly/4fWEFVk</t>
  </si>
  <si>
    <t>https://e966f83b313c3b45ede3-64a631b37f7b69cdf842d11bca52af9c.ssl.cf5.rackcdn.com//202607/EFL-20260728-085400-CENTERPT-Stars and Stripes Flex (English).pdf</t>
  </si>
  <si>
    <t>https://www.joinarevolution.com/signup/signup-step1/?id=370523&amp;promotion=NONE&amp;valid=N&amp;referral=&amp;landingpage=ptc</t>
  </si>
  <si>
    <t>https://e966f83b313c3b45ede3-64a631b37f7b69cdf842d11bca52af9c.ssl.cf5.rackcdn.com//202607/EFL-20260728-085400-ONCORD-Stars and Stripes Flex (English).pdf</t>
  </si>
  <si>
    <t>https://www.joinarevolution.com/signup/signup-step1/?id=370524&amp;promotion=NONE&amp;valid=N&amp;referral=&amp;landingpage=ptc</t>
  </si>
  <si>
    <t>https://e966f83b313c3b45ede3-64a631b37f7b69cdf842d11bca52af9c.ssl.cf5.rackcdn.com//202607/EFL-20260728-085400-CENTERPT-Stars and Stripes Green Flex (English).pdf</t>
  </si>
  <si>
    <t>https://www.joinarevolution.com/signup/signup-step1/?id=370508&amp;promotion=NONE&amp;valid=N&amp;referral=&amp;landingpage=ptc</t>
  </si>
  <si>
    <t>https://e966f83b313c3b45ede3-64a631b37f7b69cdf842d11bca52af9c.ssl.cf5.rackcdn.com//202607/EFL-20260728-085400-ONCORD-Stars and Stripes Green Flex (English).pdf</t>
  </si>
  <si>
    <t>https://www.joinarevolution.com/signup/signup-step1/?id=370509&amp;promotion=NONE&amp;valid=N&amp;referral=&amp;landingpage=ptc</t>
  </si>
  <si>
    <t>https://e966f83b313c3b45ede3-64a631b37f7b69cdf842d11bca52af9c.ssl.cf5.rackcdn.com//202607/EFL-20260728-085400-CENTERPT-Stars and Stripes 9 (English).pdf</t>
  </si>
  <si>
    <t>https://www.joinarevolution.com/signup/signup-step1/?id=370548&amp;promotion=NONE&amp;valid=N&amp;referral=&amp;landingpage=ptc</t>
  </si>
  <si>
    <t>https://e966f83b313c3b45ede3-64a631b37f7b69cdf842d11bca52af9c.ssl.cf5.rackcdn.com//202607/EFL-20260728-085400-ONCORD-Stars and Stripes 9 (English).pdf</t>
  </si>
  <si>
    <t>https://www.joinarevolution.com/signup/signup-step1/?id=370549&amp;promotion=NONE&amp;valid=N&amp;referral=&amp;landingpage=ptc</t>
  </si>
  <si>
    <t>https://e966f83b313c3b45ede3-64a631b37f7b69cdf842d11bca52af9c.ssl.cf5.rackcdn.com//202607/EFL-20260728-085400-CENTERPT-Stars and Stripes 12 (English).pdf</t>
  </si>
  <si>
    <t>https://www.joinarevolution.com/signup/signup-step1/?id=370513&amp;promotion=NONE&amp;valid=N&amp;referral=&amp;landingpage=ptc</t>
  </si>
  <si>
    <t>https://e966f83b313c3b45ede3-64a631b37f7b69cdf842d11bca52af9c.ssl.cf5.rackcdn.com//202607/EFL-20260728-085400-ONCORD-Stars and Stripes 12 (English).pdf</t>
  </si>
  <si>
    <t>https://www.joinarevolution.com/signup/signup-step1/?id=370514&amp;promotion=NONE&amp;valid=N&amp;referral=&amp;landingpage=ptc</t>
  </si>
  <si>
    <t>https://e966f83b313c3b45ede3-64a631b37f7b69cdf842d11bca52af9c.ssl.cf5.rackcdn.com//202607/EFL-20260728-085400-CENTERPT-Stars and Stripes 24 (English).pdf</t>
  </si>
  <si>
    <t>https://www.joinarevolution.com/signup/signup-step1/?id=370528&amp;promotion=NONE&amp;valid=N&amp;referral=&amp;landingpage=ptc</t>
  </si>
  <si>
    <t>https://e966f83b313c3b45ede3-64a631b37f7b69cdf842d11bca52af9c.ssl.cf5.rackcdn.com//202607/EFL-20260728-085400-ONCORD-Stars and Stripes 24 (English).pdf</t>
  </si>
  <si>
    <t>https://www.joinarevolution.com/signup/signup-step1/?id=370529&amp;promotion=NONE&amp;valid=N&amp;referral=&amp;landingpage=ptc</t>
  </si>
  <si>
    <t>https://e966f83b313c3b45ede3-64a631b37f7b69cdf842d11bca52af9c.ssl.cf5.rackcdn.com//202607/EFL-20260728-085400-CENTERPT-Stars and Stripes 36 (English).pdf</t>
  </si>
  <si>
    <t>https://www.joinarevolution.com/signup/signup-step1/?id=370533&amp;promotion=NONE&amp;valid=N&amp;referral=&amp;landingpage=ptc</t>
  </si>
  <si>
    <t>https://e966f83b313c3b45ede3-64a631b37f7b69cdf842d11bca52af9c.ssl.cf5.rackcdn.com//202607/EFL-20260728-085400-ONCORD-Stars and Stripes 36 (English).pdf</t>
  </si>
  <si>
    <t>https://www.joinarevolution.com/signup/signup-step1/?id=370534&amp;promotion=NONE&amp;valid=N&amp;referral=&amp;landingpage=ptc</t>
  </si>
  <si>
    <t>https://e966f83b313c3b45ede3-64a631b37f7b69cdf842d11bca52af9c.ssl.cf5.rackcdn.com//202607/EFL-20260728-085400-CENTERPT-Liberty Bell Flex (English).pdf</t>
  </si>
  <si>
    <t>https://www.joinarevolution.com/signup/signup-step1/?id=370503&amp;promotion=NONE&amp;valid=N&amp;referral=&amp;landingpage=ptc</t>
  </si>
  <si>
    <t>https://e966f83b313c3b45ede3-64a631b37f7b69cdf842d11bca52af9c.ssl.cf5.rackcdn.com//202607/EFL-20260728-085400-ONCORD-Liberty Bell Flex (English).pdf</t>
  </si>
  <si>
    <t>https://www.joinarevolution.com/signup/signup-step1/?id=370504&amp;promotion=NONE&amp;valid=N&amp;referral=&amp;landingpage=ptc</t>
  </si>
  <si>
    <t>https://e966f83b313c3b45ede3-64a631b37f7b69cdf842d11bca52af9c.ssl.cf5.rackcdn.com//202607/EFL-20260728-085400-CENTERPT-Liberty Bell Green Flex (English).pdf</t>
  </si>
  <si>
    <t>https://www.joinarevolution.com/signup/signup-step1/?id=370498&amp;promotion=NONE&amp;valid=N&amp;referral=&amp;landingpage=ptc</t>
  </si>
  <si>
    <t>https://e966f83b313c3b45ede3-64a631b37f7b69cdf842d11bca52af9c.ssl.cf5.rackcdn.com//202607/EFL-20260728-085400-ONCORD-Liberty Bell Green Flex (English).pdf</t>
  </si>
  <si>
    <t>https://www.joinarevolution.com/signup/signup-step1/?id=370499&amp;promotion=NONE&amp;valid=N&amp;referral=&amp;landingpage=ptc</t>
  </si>
  <si>
    <t>https://signup.budgetpowertx.com/Home/TOS?productId=34901</t>
  </si>
  <si>
    <t>https://signup.budgetpowertx.com/Home/TOS?productId=34902</t>
  </si>
  <si>
    <t>https://signup.budgetpowertx.com/Home/TOS?productId=34903</t>
  </si>
  <si>
    <t>https://signup.budgetpowertx.com/Home/TOS?productId=34904</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</si>
  <si>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</si>
  <si>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</si>
  <si>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</si>
  <si>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</si>
  <si>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</si>
  <si>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</si>
  <si>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</si>
  <si>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</si>
  <si>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</si>
  <si>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</si>
  <si>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</si>
  <si>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</si>
  <si>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</si>
  <si>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</si>
  <si>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</si>
  <si>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</si>
  <si>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https://signup.budgetpowertx.com/Home/YRAC?productId=34901</t>
  </si>
  <si>
    <t>https://signup.budgetpowertx.com/Home/EFL?productId=34901&amp;Promo=</t>
  </si>
  <si>
    <t>https://signup.budgetpowertx.com/Home/YRAC?productId=34902</t>
  </si>
  <si>
    <t>https://signup.budgetpowertx.com/Home/EFL?productId=34902&amp;Promo=</t>
  </si>
  <si>
    <t>https://signup.budgetpowertx.com/Home/YRAC?productId=34903</t>
  </si>
  <si>
    <t>https://signup.budgetpowertx.com/Home/EFL?productId=34903&amp;Promo=</t>
  </si>
  <si>
    <t>https://signup.budgetpowertx.com/Home/YRAC?productId=34904</t>
  </si>
  <si>
    <t>https://signup.budgetpowertx.com/Home/EFL?productId=34904&amp;Promo=</t>
  </si>
  <si>
    <t>https://eflviewer.companionenergy.com/eflviewer.aspx?lang=EN&amp;prodcode=CEPERK10&amp;tdspcode=CNP&amp;ppid=191558&amp;logid=82392&amp;filename=CNP_CEPERK10_20260730_0000_82392</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</si>
  <si>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</si>
  <si>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</si>
  <si>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</si>
  <si>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</si>
  <si>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</si>
  <si>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</si>
  <si>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https://www.constellation.com/bin/residential/GetContractVersionPDF?versionNum=4997550</t>
  </si>
  <si>
    <t>Simple Switch 11</t>
  </si>
  <si>
    <t>https://www.constellation.com/bin/residential/GetContractVersionPDF?versionNum=4997552</t>
  </si>
  <si>
    <t>Simple Switch 5</t>
  </si>
  <si>
    <t>This offer is for first time customers only who enroll through the Power to Choose website. Check out our other great rates available! https://www.constellation.com/</t>
  </si>
  <si>
    <t>https://www.constellation.com/bin/residential/GetContractVersionPDF?versionNum=4997554</t>
  </si>
  <si>
    <t>14 Month Usage Bill Credit</t>
  </si>
  <si>
    <t>https://www.constellation.com/bin/residential/GetContractVersionPDF?versionNum=4997556</t>
  </si>
  <si>
    <t>36 Month Usage Bill Credit</t>
  </si>
  <si>
    <t>https://www.constellation.com/bin/residential/GetContractVersionPDF?versionNum=4997520</t>
  </si>
  <si>
    <t>https://eflviewer.frontierutilities.com/eflviewer.aspx?lang=EN&amp;prodcode=FPOWSVR10&amp;tdspcode=CNP&amp;ppid=191556&amp;logid=82390&amp;filename=CNP_FPOWSVR10_20260730_0000_82390</t>
  </si>
  <si>
    <t>https://eflviewer.gexaenergy.com/eflviewer.aspx?lang=EN&amp;prodcode=GXAECOCHI10&amp;tdspcode=CNP&amp;ppid=191557&amp;logid=82388&amp;filename=CNP_GXAECOCHI10_20260730_0000_82388</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</si>
  <si>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</si>
  <si>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</si>
  <si>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https://eflviewer.companionenergy.com/eflviewer.aspx?lang=EN&amp;prodcode=CEPERK12&amp;tdspcode=ONCOR_ELEC&amp;ppid=192168&amp;logid=82827&amp;filename=ONCOR_ELEC_CEPERK12_20260801_0000_82827</t>
  </si>
  <si>
    <t>https://eflviewer.companionenergy.com/eflviewer.aspx?lang=EN&amp;prodcode=CEPERK10&amp;tdspcode=ONCOR_ELEC&amp;ppid=192194&amp;logid=82826&amp;filename=ONCOR_ELEC_CEPERK10_20260801_0000_82826</t>
  </si>
  <si>
    <t>https://www.constellation.com/bin/residential/GetContractVersionPDF?versionNum=4998946</t>
  </si>
  <si>
    <t>https://www.constellation.com/bin/residential/GetContractVersionPDF?versionNum=4999163</t>
  </si>
  <si>
    <t>https://www.constellation.com/bin/residential/GetContractVersionPDF?versionNum=4998974</t>
  </si>
  <si>
    <t>https://eflviewer.frontierutilities.com/eflviewer.aspx?lang=EN&amp;prodcode=FPOWSVR12&amp;tdspcode=ONCOR_ELEC&amp;ppid=192107&amp;logid=82837&amp;filename=ONCOR_ELEC_FPOWSVR12_20260801_0000_82837</t>
  </si>
  <si>
    <t>https://eflviewer.frontierutilities.com/eflviewer.aspx?lang=EN&amp;prodcode=FPOWSVR10&amp;tdspcode=ONCOR_ELEC&amp;ppid=192164&amp;logid=82836&amp;filename=ONCOR_ELEC_FPOWSVR10_20260801_0000_82836</t>
  </si>
  <si>
    <t>https://eflviewer.gexaenergy.com/eflviewer.aspx?lang=EN&amp;prodcode=GXAECOCHI12&amp;tdspcode=ONCOR_ELEC&amp;ppid=192108&amp;logid=82883&amp;filename=ONCOR_ELEC_GXAECOCHI12_20260801_0000_82883</t>
  </si>
  <si>
    <t>https://eflviewer.gexaenergy.com/eflviewer.aspx?lang=EN&amp;prodcode=GXAECOCHI10&amp;tdspcode=ONCOR_ELEC&amp;ppid=192165&amp;logid=82882&amp;filename=ONCOR_ELEC_GXAECOCHI10_20260801_0000_82882</t>
  </si>
  <si>
    <t>https://neccoopenergy.com/wp-content/uploads/2026/07/EFL-8-1-26-RESIDENTIAL-Centerpoint.pdf</t>
  </si>
  <si>
    <t>https://neccoopenergy.com/wp-content/uploads/2026/07/EFL-8-1-26-RESIDENTIAL-Oncor.pdf</t>
  </si>
  <si>
    <t>SFE RewardsPlus - 5</t>
  </si>
  <si>
    <t>https://empowerdocs.blob.core.windows.net/efldocuments/SFE_REWARDSPLUS_-_5_2516169848246663395_EFL_SFE%20Residential%20Fixed%20ONC%205English.pdf</t>
  </si>
  <si>
    <t>SFE RewardsPlus - 10</t>
  </si>
  <si>
    <t>https://empowerdocs.blob.core.windows.net/efldocuments/SFE_REWARDSPLUS_-_10_2516169848436532675_EFL_SFE%20Residential%20Fixed%20ONC%2010English.pdf</t>
  </si>
  <si>
    <t>https://empowerdocs.blob.core.windows.net/efldocuments/SFE_REWARDSPLUS_-_5_2516169848397157807_EFL_SFE%20Residential%20Fixed%20CNP%205English.pdf</t>
  </si>
  <si>
    <t>https://empowerdocs.blob.core.windows.net/efldocuments/SFE_REWARDSPLUS_-_10_2516169848551226181_EFL_SFE%20Residential%20Fixed%20CNP%2010English.pdf</t>
  </si>
  <si>
    <t>https://empowerdocs.blob.core.windows.net/efldocuments/SFE_REWARDSPLUS_-_12_2516169848171194906_EFL_SFE%20Residential%20Fixed%20CNP%2012English.pdf</t>
  </si>
  <si>
    <t>https://empowerdocs.blob.core.windows.net/efldocuments/SFE_REWARDSPLUS_-_12_2516169849162521781_EFL_SFE%20Residential%20Fixed%20ONC%2012English.pdf</t>
  </si>
  <si>
    <t>SFE RewardsPlus - 23</t>
  </si>
  <si>
    <t>https://empowerdocs.blob.core.windows.net/efldocuments/SFE_REWARDSPLUS_-_23_2516169849090174139_EFL_SFE%20Residential%20Fixed%20ONC%2023English.pdf</t>
  </si>
  <si>
    <t>https://empowerdocs.blob.core.windows.net/efldocuments/SFE_REWARDSPLUS_-_23_2516169848624673592_EFL_SFE%20Residential%20Fixed%20CNP%2023English.pdf</t>
  </si>
  <si>
    <t>SoFed Digital Saver Plus - 12</t>
  </si>
  <si>
    <t>12-Month Term Length. This electricity product is designed for Texas electricity customers who value predictable pricing and clear, transparent terms.</t>
  </si>
  <si>
    <t>https://bit.ly/3S0hNv0</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</si>
  <si>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</si>
  <si>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</si>
  <si>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</si>
  <si>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</si>
  <si>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</si>
  <si>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</si>
  <si>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</si>
  <si>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</si>
  <si>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</si>
  <si>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https://gb008a8dbfa8724-worx4uv1.adb.us-ashburn-1.oraclecloudapps.com/ords/worx4u/admin/efls/57D97893A38AD3DDE063E0F8000A509F/view</t>
  </si>
  <si>
    <t>https://gb008a8dbfa8724-worx4uv1.adb.us-ashburn-1.oraclecloudapps.com/ords/worx4u/admin/efls/57D9933069B89591E063E0F8000A297D/view</t>
  </si>
  <si>
    <t>https://gb008a8dbfa8724-worx4uv1.adb.us-ashburn-1.oraclecloudapps.com/ords/worx4u/admin/efls/57D9825AD97ED3C7E063E0F8000A9D6B/view</t>
  </si>
  <si>
    <t>https://gb008a8dbfa8724-worx4uv1.adb.us-ashburn-1.oraclecloudapps.com/ords/worx4u/admin/efls/57DB4DD53F444FACE063E0F8000AB2F8/view</t>
  </si>
  <si>
    <t>https://gb008a8dbfa8724-worx4uv1.adb.us-ashburn-1.oraclecloudapps.com/ords/worx4u/admin/efls/57DD22BA4960C995E063E0F8000A7B1A/view</t>
  </si>
  <si>
    <t>True Value 10</t>
  </si>
  <si>
    <t>https://gb008a8dbfa8724-worx4uv1.adb.us-ashburn-1.oraclecloudapps.com/ords/worx4u/admin/efls/57ECE5DF46FBE666E063E0F8000AD97C/view</t>
  </si>
  <si>
    <t>True Value 11</t>
  </si>
  <si>
    <t>https://gb008a8dbfa8724-worx4uv1.adb.us-ashburn-1.oraclecloudapps.com/ords/worx4u/admin/efls/57ED9AD029836E80E063E0F8000A98D6/view</t>
  </si>
  <si>
    <t>JHX</t>
  </si>
  <si>
    <t>https://signup.budgetpowertx.com/Home/TOS?productId=34912</t>
  </si>
  <si>
    <t>https://signup.chariotenergy.com//Home/TOS?productId=46879</t>
  </si>
  <si>
    <t>https://signup.chariotenergy.com//Home/TOS?productId=46878</t>
  </si>
  <si>
    <t>https://signup.chariotenergy.com//Home/TOS?productId=46867</t>
  </si>
  <si>
    <t>https://signup.chariotenergy.com//Home/TOS?productId=46870</t>
  </si>
  <si>
    <t>https://signup.chariotenergy.com//Home/TOS?productId=46868</t>
  </si>
  <si>
    <t>https://signup.chariotenergy.com//Home/TOS?productId=46866</t>
  </si>
  <si>
    <t>https://signup.chariotenergy.com//Home/TOS?productId=46869</t>
  </si>
  <si>
    <t>https://signup.chariotenergy.com//Home/TOS?productId=46846</t>
  </si>
  <si>
    <t>https://www.cirroenergy.com/files/09017518836818ee.pdf</t>
  </si>
  <si>
    <t>R5F36A</t>
  </si>
  <si>
    <t>https://www.discountpowertx.com/files/0901751883681d09.pdf</t>
  </si>
  <si>
    <t>R5F16A</t>
  </si>
  <si>
    <t>https://signup.budgetpowertx.com/Home/YRAC?productId=34912</t>
  </si>
  <si>
    <t>https://signup.budgetpowertx.com/Home/EFL?productId=34912&amp;Promo=</t>
  </si>
  <si>
    <t>https://signup.chariotenergy.com//Home/YRAC?productId=46879</t>
  </si>
  <si>
    <t>https://signup.chariotenergy.com//Home/EFl?productId=46879</t>
  </si>
  <si>
    <t>https://signup.chariotenergy.com//Home/YRAC?productId=46878</t>
  </si>
  <si>
    <t>https://signup.chariotenergy.com//Home/EFl?productId=46878</t>
  </si>
  <si>
    <t>https://signup.chariotenergy.com//Home/TOS?productId=46851</t>
  </si>
  <si>
    <t>https://signup.chariotenergy.com//Home/YRAC?productId=46851</t>
  </si>
  <si>
    <t>https://signup.chariotenergy.com//Home/EFl?productId=46851</t>
  </si>
  <si>
    <t>https://signup.chariotenergy.com//Home/YRAC?productId=46867</t>
  </si>
  <si>
    <t>https://signup.chariotenergy.com//Home/EFl?productId=46867</t>
  </si>
  <si>
    <t>https://signup.chariotenergy.com//Home/YRAC?productId=46870</t>
  </si>
  <si>
    <t>https://signup.chariotenergy.com//Home/EFl?productId=46870</t>
  </si>
  <si>
    <t>https://signup.chariotenergy.com//Home/YRAC?productId=46868</t>
  </si>
  <si>
    <t>https://signup.chariotenergy.com//Home/EFl?productId=46868</t>
  </si>
  <si>
    <t>https://signup.chariotenergy.com//Home/YRAC?productId=46866</t>
  </si>
  <si>
    <t>https://signup.chariotenergy.com//Home/EFl?productId=46866</t>
  </si>
  <si>
    <t>https://signup.chariotenergy.com//Home/YRAC?productId=46869</t>
  </si>
  <si>
    <t>https://signup.chariotenergy.com//Home/EFl?productId=46869</t>
  </si>
  <si>
    <t>https://signup.chariotenergy.com//Home/YRAC?productId=46846</t>
  </si>
  <si>
    <t>https://signup.chariotenergy.com//Home/EFl?productId=46846</t>
  </si>
  <si>
    <t>Smart Simple 12</t>
  </si>
  <si>
    <t>Paperless eBill and Bill Alert Options ::: 24/7 Local Customer Service ::: NO FEES for VISA, DISCOVER &amp; MC::: Easy Online Account Access ::: This offer is for new customers only</t>
  </si>
  <si>
    <t>https://www.cirroenergy.com/defl/M1F00193223028A.pdf</t>
  </si>
  <si>
    <t>Smart Simple 18</t>
  </si>
  <si>
    <t>https://www.cirroenergy.com/defl/M1F00193223114A.pdf</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</si>
  <si>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</si>
  <si>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</si>
  <si>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</si>
  <si>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</si>
  <si>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</si>
  <si>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https://www.cirroenergy.com/defl/M1F00193223104A.pdf</t>
  </si>
  <si>
    <t>Smart Simple 10</t>
  </si>
  <si>
    <t>https://www.cirroenergy.com/defl/M1F00193223056A.pdf</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</si>
  <si>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</si>
  <si>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</si>
  <si>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</si>
  <si>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https://www.cirroenergy.com/defl/M1F00193223032A.pdf</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</si>
  <si>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</si>
  <si>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</si>
  <si>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</si>
  <si>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</si>
  <si>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</si>
  <si>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</si>
  <si>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Electronic Billing and auto payment via bank draft, credit card, or debit card available. This offer is for new customers only. Enroll through Power to Choose or by using special promo code; Promo Code Required: WQ4131.</t>
  </si>
  <si>
    <t>https://www.discountpowertx.com/defl/M1F00193222936A.pdf</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</si>
  <si>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</si>
  <si>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</si>
  <si>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</si>
  <si>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</si>
  <si>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</si>
  <si>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</si>
  <si>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</si>
  <si>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https://www.discountpowertx.com/defl/M1F00193222970A.pdf</t>
  </si>
  <si>
    <t>https://www.discountpowertx.com/defl/M1F00193222946A.pdf</t>
  </si>
  <si>
    <t>https://www.discountpowertx.com/defl/M1F00193222974A.pdf</t>
  </si>
  <si>
    <t>Saver 10</t>
  </si>
  <si>
    <t>https://www.discountpowertx.com/defl/M1F00193222858A.pdf</t>
  </si>
  <si>
    <t>https://www.discountpowertx.com/defl/M1F00193222866A.pdf</t>
  </si>
  <si>
    <t>Saver 11</t>
  </si>
  <si>
    <t>https://www.discountpowertx.com/defl/M1F00193222834A.pdf</t>
  </si>
  <si>
    <t>https://www.discountpowertx.com/defl/M1F00193222838A.pdf</t>
  </si>
  <si>
    <t>September Savin' 6</t>
  </si>
  <si>
    <t>Plan ahead and save big. To lock in this super low rate, the September Savin' 6 Plan requires that your service start date begins in September. This plan is perfect for those who might be moving, or have their contract expiring in September.</t>
  </si>
  <si>
    <t>https://api.energytexas.com/api/pricing/offers/latest-offers-efl/25432/?locale=en</t>
  </si>
  <si>
    <t>https://www.energytexas.com/?rcid=power-to-choose&amp;utm_source=powertochoose&amp;utm_content=centerpoint&amp;utm_campaign=powertochoose&amp;utm_medium=state-shopping&amp;utm_term=SS6</t>
  </si>
  <si>
    <t>https://api.energytexas.com/api/pricing/offers/latest-offers-efl/25434/?locale=en</t>
  </si>
  <si>
    <t>https://www.energytexas.com/?rcid=power-to-choose&amp;utm_source=powertochoose&amp;utm_content=oncor&amp;utm_campaign=powertochoose&amp;utm_medium=state-shopping&amp;utm_term=SS6</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</si>
  <si>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</si>
  <si>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</si>
  <si>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https://signup.greenmountain.com/defl/G1F00183449060C.pdf</t>
  </si>
  <si>
    <t>https://signup.greenmountain.com/defl/G1F00183202874D.pdf</t>
  </si>
  <si>
    <t>https://www.greenmountainenergy.com/gmec-lnd-tx-ptc/?sid=A3P_PTC_ERCOT_2015APR_PFe-PlusMTM</t>
  </si>
  <si>
    <t>https://signup.greenmountain.com/defl/G1F00183449048D.pdf</t>
  </si>
  <si>
    <t>https://signup.greenmountain.com/defl/G1F00183449076C.pdf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</si>
  <si>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</si>
  <si>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</si>
  <si>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</si>
  <si>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</si>
  <si>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</si>
  <si>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</si>
  <si>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</si>
  <si>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</si>
  <si>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</si>
  <si>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https://e966f83b313c3b45ede3-64a631b37f7b69cdf842d11bca52af9c.ssl.cf5.rackcdn.com//202608/EFL-20260803-104700-CENTERPT-Stars and Stripes 18 (English).pdf</t>
  </si>
  <si>
    <t>https://www.joinarevolution.com/signup/signup-step1/?id=371185&amp;promotion=NONE&amp;valid=N&amp;referral=&amp;landingpage=ptc</t>
  </si>
  <si>
    <t>https://e966f83b313c3b45ede3-64a631b37f7b69cdf842d11bca52af9c.ssl.cf5.rackcdn.com//202608/EFL-20260803-104700-ONCORD-Stars and Stripes 18 (English).pdf</t>
  </si>
  <si>
    <t>https://www.joinarevolution.com/signup/signup-step1/?id=371186&amp;promotion=NONE&amp;valid=N&amp;referral=&amp;landingpage=ptc</t>
  </si>
  <si>
    <t>Simply September 6</t>
  </si>
  <si>
    <t>https://gotrhythm.com?rcid=power-to-choose&amp;utm_source=powertochoose&amp;utm_medium=state-shopping</t>
  </si>
  <si>
    <t>Plan ahead and save big. To lock in this super low rate, the Simply September 6 Plan requires that your service start date begins in September. This plan is perfect for those who might be moving, have their contract expiring in September or simply want to break up with their current provider. Call us at 1-877-649-0441 to sign up today!</t>
  </si>
  <si>
    <t>https://api.gotrhythm.com/api/pricing/offers/latest-offers-efl/25324?locale=en</t>
  </si>
  <si>
    <t>https://gotrhythm.com/?rcid=power-to-choose&amp;utm_source=powertochoose&amp;utm_campaign=centerpoint&amp;utm_medium=state-shopping&amp;utm_term=SS6</t>
  </si>
  <si>
    <t>https://api.gotrhythm.com/api/pricing/offers/latest-offers-efl/25358?locale=en</t>
  </si>
  <si>
    <t>https://gotrhythm.com/?rcid=power-to-choose&amp;utm_source=powertochoose&amp;utm_campaign=oncor&amp;utm_medium=state-shopping&amp;utm_term=SS6</t>
  </si>
  <si>
    <t>https://gb008a8dbfa8724-worx4uv1.adb.us-ashburn-1.oraclecloudapps.com/ords/worx4u/admin/efls/582DBF73BE5C110DE063E0F8000A3CD1/view</t>
  </si>
  <si>
    <t>https://gb008a8dbfa8724-worx4uv1.adb.us-ashburn-1.oraclecloudapps.com/ords/worx4u/admin/efls/582DA8F87E01EF19E063E0F8000A60A7/view</t>
  </si>
  <si>
    <t>https://gb008a8dbfa8724-worx4uv1.adb.us-ashburn-1.oraclecloudapps.com/ords/worx4u/admin/efls/582D9754128EBCD4E063E0F8000A7A26/view</t>
  </si>
  <si>
    <t>https://residential.txu.com/Handlers/PDFGenerator.ashx?comProdId=ONXSMSL1KC12AB&amp;lang=en&amp;formType=EnergyFactsLabel&amp;custClass=3&amp;tdsp=ONCOR</t>
  </si>
  <si>
    <t>https://signup.varsityenergy.com/Home/EFl?productId=33042&amp;ver=english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</si>
</sst>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46237.5</c:v>
                </c:pt>
                <c:pt idx="1">
                  <c:v>46238.5</c:v>
                </c:pt>
                <c:pt idx="2">
                  <c:v>46239.5</c:v>
                </c:pt>
                <c:pt idx="3">
                  <c:v>46240.5</c:v>
                </c:pt>
                <c:pt idx="4">
                  <c:v>46241.5</c:v>
                </c:pt>
                <c:pt idx="5">
                  <c:v>46242.5</c:v>
                </c:pt>
                <c:pt idx="6">
                  <c:v>46243.5</c:v>
                </c:pt>
                <c:pt idx="7">
                  <c:v>46244.5</c:v>
                </c:pt>
                <c:pt idx="8">
                  <c:v>46245.5</c:v>
                </c:pt>
                <c:pt idx="9">
                  <c:v>46246.5</c:v>
                </c:pt>
                <c:pt idx="10">
                  <c:v>46247.5</c:v>
                </c:pt>
                <c:pt idx="11">
                  <c:v>46248.5</c:v>
                </c:pt>
                <c:pt idx="12">
                  <c:v>46249.5</c:v>
                </c:pt>
                <c:pt idx="13">
                  <c:v>46250.5</c:v>
                </c:pt>
                <c:pt idx="14">
                  <c:v>46251.5</c:v>
                </c:pt>
                <c:pt idx="15">
                  <c:v>46252.5</c:v>
                </c:pt>
                <c:pt idx="16">
                  <c:v>46253.5</c:v>
                </c:pt>
                <c:pt idx="17">
                  <c:v>46254.5</c:v>
                </c:pt>
                <c:pt idx="18">
                  <c:v>46255.5</c:v>
                </c:pt>
                <c:pt idx="19">
                  <c:v>46256.5</c:v>
                </c:pt>
                <c:pt idx="20">
                  <c:v>46257.5</c:v>
                </c:pt>
                <c:pt idx="21">
                  <c:v>46258.5</c:v>
                </c:pt>
                <c:pt idx="22">
                  <c:v>46259.5</c:v>
                </c:pt>
                <c:pt idx="23">
                  <c:v>46260.5</c:v>
                </c:pt>
                <c:pt idx="24">
                  <c:v>46261.5</c:v>
                </c:pt>
                <c:pt idx="25">
                  <c:v>46262.5</c:v>
                </c:pt>
                <c:pt idx="26">
                  <c:v>46263.5</c:v>
                </c:pt>
                <c:pt idx="27">
                  <c:v>46264.5</c:v>
                </c:pt>
                <c:pt idx="28">
                  <c:v>46265.5</c:v>
                </c:pt>
                <c:pt idx="29">
                  <c:v>46266.5</c:v>
                </c:pt>
                <c:pt idx="30">
                  <c:v>46267.5</c:v>
                </c:pt>
                <c:pt idx="31">
                  <c:v>46268.5</c:v>
                </c:pt>
                <c:pt idx="32">
                  <c:v>46269.5</c:v>
                </c:pt>
                <c:pt idx="33">
                  <c:v>46270.5</c:v>
                </c:pt>
                <c:pt idx="34">
                  <c:v>46271.5</c:v>
                </c:pt>
                <c:pt idx="35">
                  <c:v>46272.5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683AF85A-A432-4690-8A59-E35C7E0ECCE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5EC525C0-395D-4AAA-AF9E-1926D984EE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EB0593C6-157B-475B-A250-0C59D67EBE6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0028520C-06F0-4B59-B37A-999564BBB4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118D56D4-85E7-4B03-9A9B-F16361DBF5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A1C2E0A6-B74F-40AC-A92A-E64DD92D0BB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4E7774EE-B023-4CC9-B103-AA6EDD78AC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6448E65E-6E9A-4B8E-84C4-77E5C680849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459DF648-70C7-4DDB-B8F6-1038736358D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A31A763E-516B-453A-B30C-45FD1053F0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EF79BBB-5276-45CA-9F1D-D31C0B1C39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22528389-CAD0-4107-AF49-E59468DA76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C58EA25F-1606-4CAF-A147-57928C241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6D5E4A-59B7-4160-907B-2E46E9D2D7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9B31E443-E5BA-4004-8552-1A3C345E46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F7E47BE3-E4EA-45D2-8887-0B7A63B4CD9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4DE54295-C15C-4898-A2AE-4D5DBDC7A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AFF6E7F7-14C3-49B4-878D-5A657EFE99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1AA7F34B-720F-4EB4-8F28-281DAD4EBC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8C4DDF4-C4A6-4465-88BA-A25C22B64E1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136130E-EAAB-4E7F-9C28-0029AABA12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BED62E-A3BC-4BA3-B2D8-99A950733AC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EB9C3FDB-3D20-45BE-9616-A9646EDAE1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E35E919D-F71F-43C7-81CA-BFF01107BC1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B0B7DA76-84BA-4FB4-9AC8-05A0AB7C25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7556D0BE-13B5-4FC1-A46C-842855FFE98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6CB9C841-5D44-419D-9A92-46FDDEC95BF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8A1AED0C-6A33-4E6F-8194-51A6FA9F1F3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A01BF7C-883B-4081-BDD0-AF172959904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2525261D-89F6-42F2-8AA1-BA9E5FBB14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FEC1802E-77D7-4A51-A921-0B6E03A195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A4971AC1-C110-464F-B153-6683BF5FE86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517EACCB-E482-4C69-968A-07187DD7701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BF0D26F7-3ED5-4A00-ABFE-AAC0CDBB02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5BA565F4-F775-4AB1-BBE9-C4E393A5C4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F88AEFF-4036-49CB-9DA1-3C4733AFAD6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46237.5</c:v>
                </c:pt>
                <c:pt idx="1">
                  <c:v>46238.5</c:v>
                </c:pt>
                <c:pt idx="2">
                  <c:v>46239.5</c:v>
                </c:pt>
                <c:pt idx="3">
                  <c:v>46240.5</c:v>
                </c:pt>
                <c:pt idx="4">
                  <c:v>46241.5</c:v>
                </c:pt>
                <c:pt idx="5">
                  <c:v>46242.5</c:v>
                </c:pt>
                <c:pt idx="6">
                  <c:v>46243.5</c:v>
                </c:pt>
                <c:pt idx="7">
                  <c:v>46244.5</c:v>
                </c:pt>
                <c:pt idx="8">
                  <c:v>46245.5</c:v>
                </c:pt>
                <c:pt idx="9">
                  <c:v>46246.5</c:v>
                </c:pt>
                <c:pt idx="10">
                  <c:v>46247.5</c:v>
                </c:pt>
                <c:pt idx="11">
                  <c:v>46248.5</c:v>
                </c:pt>
                <c:pt idx="12">
                  <c:v>46249.5</c:v>
                </c:pt>
                <c:pt idx="13">
                  <c:v>46250.5</c:v>
                </c:pt>
                <c:pt idx="14">
                  <c:v>46251.5</c:v>
                </c:pt>
                <c:pt idx="15">
                  <c:v>46252.5</c:v>
                </c:pt>
                <c:pt idx="16">
                  <c:v>46253.5</c:v>
                </c:pt>
                <c:pt idx="17">
                  <c:v>46254.5</c:v>
                </c:pt>
                <c:pt idx="18">
                  <c:v>46255.5</c:v>
                </c:pt>
                <c:pt idx="19">
                  <c:v>46256.5</c:v>
                </c:pt>
                <c:pt idx="20">
                  <c:v>46257.5</c:v>
                </c:pt>
                <c:pt idx="21">
                  <c:v>46258.5</c:v>
                </c:pt>
                <c:pt idx="22">
                  <c:v>46259.5</c:v>
                </c:pt>
                <c:pt idx="23">
                  <c:v>46260.5</c:v>
                </c:pt>
                <c:pt idx="24">
                  <c:v>46261.5</c:v>
                </c:pt>
                <c:pt idx="25">
                  <c:v>46262.5</c:v>
                </c:pt>
                <c:pt idx="26">
                  <c:v>46263.5</c:v>
                </c:pt>
                <c:pt idx="27">
                  <c:v>46264.5</c:v>
                </c:pt>
                <c:pt idx="28">
                  <c:v>46265.5</c:v>
                </c:pt>
                <c:pt idx="29">
                  <c:v>46266.5</c:v>
                </c:pt>
                <c:pt idx="30">
                  <c:v>46267.5</c:v>
                </c:pt>
                <c:pt idx="31">
                  <c:v>46268.5</c:v>
                </c:pt>
                <c:pt idx="32">
                  <c:v>46269.5</c:v>
                </c:pt>
                <c:pt idx="33">
                  <c:v>46270.5</c:v>
                </c:pt>
                <c:pt idx="34">
                  <c:v>46271.5</c:v>
                </c:pt>
                <c:pt idx="35">
                  <c:v>46272.5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39BE6707-73DD-4424-8293-DA081FB475D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31D31097-F97A-4F01-A874-DFDC8B23E4F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5FAEAB98-244B-415B-879A-B5F6ABC7153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94A63C9C-D988-49C3-8882-AA3C9EF3857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5A1ADB71-EE26-4EE6-910E-297E6AD636F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83E8299A-902D-43F9-A4E0-FAE8222FFF4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400715E1-53B3-4D60-A0E3-B7D6A1C56C6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103589B4-C9AD-4691-9274-8BF75327214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C63F1F0E-14DB-436D-8F1B-114A293E28E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4192B6CD-5505-4B13-AE74-7253017A17C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8D1C5959-B04E-4AC4-9A07-FD4933FB954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279F22EB-1478-4F51-BF0D-EE98AF96212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5EC7A895-3107-41E1-BE5F-517EE3A4876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F224B56D-0FCD-4D1C-AD75-287D6465887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388D08D7-2254-437A-AA05-9A21AB2670D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1D3CD45C-144D-49AD-93FE-023A5FDBDB8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8411B314-B552-4B9D-9C9A-150C256AC49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B82F8FA6-E6D6-4A49-9966-93E0AF9D3EB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70A198DC-8571-4C5D-B3DE-A0420DF5631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7E6540C5-AEA7-4AF3-BB32-CC0DCCB725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AA1B04D9-A9AF-463E-9380-7ADF9CBDB0D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4D8E9C4F-1FD8-4303-BC3E-3E3A56C1BCD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93165365-2345-4B7A-B0B8-B917D843786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233361FC-9550-47AC-9D04-1BB5D8BE708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84FA269C-0865-4C71-94FE-544876EEAE3A}"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D76778A-69BB-4BF7-8872-9158041C060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11CF53B2-E5C7-40BC-8201-909BD441DB8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A5035A7-9FF4-43D5-917B-16166F69B3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B34191AC-CD48-4FE8-84E5-C85DEA01C9B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BF4D9604-5BF8-4004-A254-CC93474CA6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0BDD494-CB14-4B1E-A42E-A064CC55793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2FB663F-4A1B-407F-887F-97DF5D9BF2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5B84E69E-864D-4DF4-8F74-0A008A02F67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5C35535B-B908-4C28-A5B1-ECD90125B37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F1714A55-186B-4FC9-9011-768A11B529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439B6AC2-BCF1-4639-A0E7-0C716FE493D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2B221696-BEEA-4B38-8AC8-F4CF1B301F3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8247D961-F3A4-43E0-9E18-D9444BDEAF7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0951BC9D-1C75-4437-A6AB-8950E842375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48CA0EC-37D7-41A8-B5A9-95FACCF371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87669C3E-DFC0-48F3-9DB2-9A264731FA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04712F0B-FBB8-4632-BD06-133349608F9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AE21A83B-7033-449C-957D-B665F5AE88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F1137D63-9D4F-41A2-924E-EEFB689309B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F4B212FF-F89B-42B9-9149-8588C6298B0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39822A24-35A7-410D-83F7-82F19ABD26A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27AAE353-AE63-482B-BB37-721ACDFDBA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B411D02A-D892-43B2-9442-609655DCFD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A0E05995-EB46-4D33-8A39-053AE9AE9E3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A2807B75-242F-419E-98DE-7F6A8C141C1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DE8CEBF-0E1D-4E2D-98A2-F5D8569890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F8427B7B-B53F-4136-8E72-ED72C0F5C7E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D949431-50F8-4B76-BBDE-80C504A1E64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C33D5176-63FF-4FB9-AFA5-F57A0926421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99958F45-DCFD-4620-A2AA-F45A5CA03D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8/3/26 6:25p</v>
      </c>
      <c r="B1" s="203"/>
      <c r="C1" s="203"/>
      <c r="D1" s="203"/>
      <c r="E1" s="203"/>
      <c r="F1" s="203"/>
      <c r="G1" s="203"/>
      <c r="H1" s="203"/>
      <c r="I1" s="157"/>
      <c r="J1" s="157"/>
      <c r="K1" s="157"/>
      <c r="L1" s="157"/>
      <c r="M1" s="157"/>
      <c r="N1" s="277"/>
      <c r="O1" s="158"/>
      <c r="P1" s="158"/>
      <c r="Q1" s="235"/>
      <c r="R1" s="158">
        <f>Database!$C$3</f>
        <v>46239.267361111109</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46237.767361111109</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plan="&amp;LEFT(REP_Name,4)&amp;Plan_Length&amp;","&amp;INDEX(Database!$D$8:$D$346,Plan_DBRow)&amp;","&amp;ROUND(Rel_Date,1)&amp;"&gt;"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46237</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46237.5</v>
      </c>
      <c r="GV7" s="107">
        <f t="shared" ref="GV7:ID7" si="4">GU7+1</f>
        <v>46238.5</v>
      </c>
      <c r="GW7" s="107">
        <f t="shared" si="4"/>
        <v>46239.5</v>
      </c>
      <c r="GX7" s="107">
        <f t="shared" si="4"/>
        <v>46240.5</v>
      </c>
      <c r="GY7" s="107">
        <f t="shared" si="4"/>
        <v>46241.5</v>
      </c>
      <c r="GZ7" s="107">
        <f t="shared" si="4"/>
        <v>46242.5</v>
      </c>
      <c r="HA7" s="107">
        <f t="shared" si="4"/>
        <v>46243.5</v>
      </c>
      <c r="HB7" s="107">
        <f t="shared" si="4"/>
        <v>46244.5</v>
      </c>
      <c r="HC7" s="107">
        <f t="shared" si="4"/>
        <v>46245.5</v>
      </c>
      <c r="HD7" s="107">
        <f t="shared" si="4"/>
        <v>46246.5</v>
      </c>
      <c r="HE7" s="107">
        <f t="shared" si="4"/>
        <v>46247.5</v>
      </c>
      <c r="HF7" s="107">
        <f t="shared" si="4"/>
        <v>46248.5</v>
      </c>
      <c r="HG7" s="107">
        <f t="shared" si="4"/>
        <v>46249.5</v>
      </c>
      <c r="HH7" s="107">
        <f t="shared" si="4"/>
        <v>46250.5</v>
      </c>
      <c r="HI7" s="107">
        <f t="shared" si="4"/>
        <v>46251.5</v>
      </c>
      <c r="HJ7" s="107">
        <f t="shared" si="4"/>
        <v>46252.5</v>
      </c>
      <c r="HK7" s="107">
        <f t="shared" si="4"/>
        <v>46253.5</v>
      </c>
      <c r="HL7" s="107">
        <f t="shared" si="4"/>
        <v>46254.5</v>
      </c>
      <c r="HM7" s="107">
        <f t="shared" si="4"/>
        <v>46255.5</v>
      </c>
      <c r="HN7" s="107">
        <f t="shared" si="4"/>
        <v>46256.5</v>
      </c>
      <c r="HO7" s="107">
        <f t="shared" si="4"/>
        <v>46257.5</v>
      </c>
      <c r="HP7" s="107">
        <f t="shared" si="4"/>
        <v>46258.5</v>
      </c>
      <c r="HQ7" s="107">
        <f t="shared" si="4"/>
        <v>46259.5</v>
      </c>
      <c r="HR7" s="107">
        <f t="shared" si="4"/>
        <v>46260.5</v>
      </c>
      <c r="HS7" s="107">
        <f t="shared" si="4"/>
        <v>46261.5</v>
      </c>
      <c r="HT7" s="107">
        <f t="shared" si="4"/>
        <v>46262.5</v>
      </c>
      <c r="HU7" s="107">
        <f t="shared" si="4"/>
        <v>46263.5</v>
      </c>
      <c r="HV7" s="107">
        <f t="shared" si="4"/>
        <v>46264.5</v>
      </c>
      <c r="HW7" s="107">
        <f t="shared" si="4"/>
        <v>46265.5</v>
      </c>
      <c r="HX7" s="107">
        <f t="shared" si="4"/>
        <v>46266.5</v>
      </c>
      <c r="HY7" s="107">
        <f t="shared" si="4"/>
        <v>46267.5</v>
      </c>
      <c r="HZ7" s="107">
        <f t="shared" si="4"/>
        <v>46268.5</v>
      </c>
      <c r="IA7" s="107">
        <f t="shared" si="4"/>
        <v>46269.5</v>
      </c>
      <c r="IB7" s="107">
        <f t="shared" si="4"/>
        <v>46270.5</v>
      </c>
      <c r="IC7" s="107">
        <f t="shared" si="4"/>
        <v>46271.5</v>
      </c>
      <c r="ID7" s="107">
        <f t="shared" si="4"/>
        <v>46272.5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5.4614419347479428</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6.3813597992243292</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7.3998402920374708</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8.3854665754050277</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9.4039470682181694</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10.389573351585724</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IFERROR(INDEX(Database!$BP$8:$BP$346,Plan_DBRow),99)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11.408053844398866</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0.43474788957340471</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MAX(Database!$CG$8:$CG$346)</f>
        <v>0</v>
      </c>
      <c r="BG18" s="1">
        <v>9</v>
      </c>
      <c r="BH18" s="121">
        <f t="shared" si="8"/>
        <v>1.4203741729409611</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IF(Show_Plan,MATCH(IF(Selected_Plan="?",1,Selected_Plan),Database!$CG$8:$CG$346,0),"")</f>
        <v/>
      </c>
      <c r="BG19" s="1">
        <v>10</v>
      </c>
      <c r="BH19" s="121">
        <f t="shared" si="8"/>
        <v>2.438854665754103</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INDEX(Database!BO$8:BO$346,Plan_DBRow)</f>
        <v>#VALUE!</v>
      </c>
      <c r="BG20" s="1">
        <v>11</v>
      </c>
      <c r="BH20" s="121">
        <f t="shared" si="8"/>
        <v>3.4244809491216595</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IFERROR(INDEX(Database!$BP$8:$BP$346,Plan_DBRow),99)</f>
        <v>99</v>
      </c>
      <c r="GM20" s="124">
        <f>IFERROR(INDEX(Database!$BP$8:$BP$346,Plan_DBRow),99)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IFERROR(INDEX(Database!$Q$8:$Q$346,Plan_DBRow),"")</f>
        <v/>
      </c>
      <c r="BG21" s="1">
        <v>12</v>
      </c>
      <c r="BH21" s="121">
        <f t="shared" si="8"/>
        <v>4.4429614419348011</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&amp;IFERROR("-"&amp;INDEX(Database!$D$8:$D$346,Plan_DBRow),"")&amp;", ©2025 PTP, LLC"&amp;IF(Show_Plan,"
Please email me free RateAlerts for this usage and new plan:
"&amp;$BU$2,"")</f>
        <v>Ver 8/3/26.18,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IFERROR(INDEX(Database!$BH$8:$BH$346,$BF19),FALSE)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5.4614419347479428</v>
      </c>
      <c r="ED22">
        <v>6.3813597992243292</v>
      </c>
      <c r="EE22">
        <v>7.3998402920374708</v>
      </c>
      <c r="EF22">
        <v>8.3854665754050277</v>
      </c>
      <c r="EG22">
        <v>9.4039470682181694</v>
      </c>
      <c r="EH22">
        <v>10.389573351585724</v>
      </c>
      <c r="EI22">
        <v>11.408053844398866</v>
      </c>
      <c r="EJ22">
        <v>0.43474788957340471</v>
      </c>
      <c r="EK22">
        <v>1.4203741729409611</v>
      </c>
      <c r="EL22">
        <v>2.438854665754103</v>
      </c>
      <c r="EM22">
        <v>3.4244809491216595</v>
      </c>
      <c r="EN22">
        <v>4.4429614419348011</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MATCH(INDEX(Database!$F$8:$F$346,Plan_DBRow),REP_Info!$D$6:$D$250,0)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INDEX(Database!$AG$8:$BG$346,Plan_DBRow,CN$22)</f>
        <v>#VALUE!</v>
      </c>
      <c r="CO23" t="e">
        <f>IF(ISBLANK(INDEX(Database!$AG$8:$BG$346,Plan_DBRow,CO$22)),"",INDEX(Database!$AG$8:$BG$346,Plan_DBRow,CO$22))</f>
        <v>#VALUE!</v>
      </c>
      <c r="CP23" t="e">
        <f>IF(ISBLANK(INDEX(Database!$AG$8:$BG$346,Plan_DBRow,CP$22)),"",INDEX(Database!$AG$8:$BG$346,Plan_DBRow,CP$22))</f>
        <v>#VALUE!</v>
      </c>
      <c r="CQ23" t="e">
        <f>IF(ISBLANK(INDEX(Database!$AG$8:$BG$346,Plan_DBRow,CQ$22)),"",INDEX(Database!$AG$8:$BG$346,Plan_DBRow,CQ$22))</f>
        <v>#VALUE!</v>
      </c>
      <c r="CR23" t="e">
        <f>IF(ISBLANK(INDEX(Database!$AG$8:$BG$346,Plan_DBRow,CR$22)),"",INDEX(Database!$AG$8:$BG$346,Plan_DBRow,CR$22))</f>
        <v>#VALUE!</v>
      </c>
      <c r="CS23" t="e">
        <f>IF(ISBLANK(INDEX(Database!$AG$8:$BG$346,Plan_DBRow,CS$22)),"",INDEX(Database!$AG$8:$BG$346,Plan_DBRow,CS$22))</f>
        <v>#VALUE!</v>
      </c>
      <c r="CT23" t="e">
        <f>IF(ISBLANK(INDEX(Database!$AG$8:$BG$346,Plan_DBRow,CT$22)),"",INDEX(Database!$AG$8:$BG$346,Plan_DBRow,CT$22))</f>
        <v>#VALUE!</v>
      </c>
      <c r="CU23" t="e">
        <f>IF(ISBLANK(INDEX(Database!$AG$8:$BG$346,Plan_DBRow,CU$22)),"",INDEX(Database!$AG$8:$BG$346,Plan_DBRow,CU$22))</f>
        <v>#VALUE!</v>
      </c>
      <c r="CV23" t="e">
        <f>IF(ISBLANK(INDEX(Database!$AG$8:$BG$346,Plan_DBRow,CV$22)),"",INDEX(Database!$AG$8:$BG$346,Plan_DBRow,CV$22))</f>
        <v>#VALUE!</v>
      </c>
      <c r="CW23" t="e">
        <f>IF(ISBLANK(INDEX(Database!$AG$8:$BG$346,Plan_DBRow,CW$22)),"",INDEX(Database!$AG$8:$BG$346,Plan_DBRow,CW$22))</f>
        <v>#VALUE!</v>
      </c>
      <c r="CX23" t="e">
        <f>IF(ISBLANK(INDEX(Database!$AG$8:$BG$346,Plan_DBRow,CX$22)),"",INDEX(Database!$AG$8:$BG$346,Plan_DBRow,CX$22))</f>
        <v>#VALUE!</v>
      </c>
      <c r="CY23" t="e">
        <f>INDEX(Database!$AG$8:$BG$346,Plan_DBRow,CY$22)</f>
        <v>#VALUE!</v>
      </c>
      <c r="CZ23" t="e">
        <f>INDEX(Database!$AG$8:$BG$346,Plan_DBRow,CZ$22)</f>
        <v>#VALUE!</v>
      </c>
      <c r="DA23" t="e">
        <f>INDEX(Database!$AG$8:$BG$346,Plan_DBRow,DA$22)</f>
        <v>#VALUE!</v>
      </c>
      <c r="DB23" t="e">
        <f>INDEX(Database!$AG$8:$BG$346,Plan_DBRow,DB$22)</f>
        <v>#VALUE!</v>
      </c>
      <c r="DC23" t="e">
        <f>INDEX(Database!$AG$8:$BG$346,Plan_DBRow,DC$22)</f>
        <v>#VALUE!</v>
      </c>
      <c r="DD23" t="e">
        <f>INDEX(Database!$AG$8:$BG$346,Plan_DBRow,DD$22)</f>
        <v>#VALUE!</v>
      </c>
      <c r="DE23" s="31" t="e">
        <f>INDEX(Database!$AG$8:$BG$346,Plan_DBRow,DE$22)</f>
        <v>#VALUE!</v>
      </c>
      <c r="DF23" s="31" t="e">
        <f>INDEX(Database!$AG$8:$BG$346,Plan_DBRow,DF$22)</f>
        <v>#VALUE!</v>
      </c>
      <c r="DG23" s="31" t="e">
        <f>INDEX(Database!$AG$8:$BG$346,Plan_DBRow,DG$22)</f>
        <v>#VALUE!</v>
      </c>
      <c r="DH23" s="31" t="e">
        <f>INDEX(Database!$AG$8:$BG$346,Plan_DBRow,DH$22)</f>
        <v>#VALUE!</v>
      </c>
      <c r="DI23" s="31" t="e">
        <f>INDEX(Database!$AG$8:$BG$346,Plan_DBRow,DI$22)</f>
        <v>#VALUE!</v>
      </c>
      <c r="DJ23" s="5" t="e">
        <f>INDEX(Database!$AG$8:$BG$346,Plan_DBRow,DJ$22)</f>
        <v>#VALUE!</v>
      </c>
      <c r="DK23" s="35" t="e">
        <f>INDEX(Database!$AG$8:$BG$346,Plan_DBRow,DK$22)</f>
        <v>#VALUE!</v>
      </c>
      <c r="DL23" s="6" t="e">
        <f>INDEX(Database!$AG$8:$BG$346,Plan_DBRow,DL$22)</f>
        <v>#VALUE!</v>
      </c>
      <c r="DM23" s="35" t="e">
        <f>INDEX(Database!$AG$8:$BG$346,Plan_DBRow,DM$22)</f>
        <v>#VALUE!</v>
      </c>
      <c r="DN23" s="35" t="e">
        <f>INDEX(Database!$AG$8:$BG$346,Plan_DBRow,DN$22)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IF(More_Plans,IF(Locked,IF(Selected_Plan,$BZ26,$BV26),IFERROR(PROPER(INDEX(Database!$G$8:$G$346,$BQ26)),"")),"")</f>
        <v/>
      </c>
      <c r="C26" s="293"/>
      <c r="D26" s="293"/>
      <c r="E26" s="293"/>
      <c r="F26" s="293"/>
      <c r="G26" s="259" t="str">
        <f>IF(Locked,"",IFERROR(HYPERLINK(INDEX(Database!$Y$8:$Y$346,$BQ26),"EFL"),""))</f>
        <v/>
      </c>
      <c r="H26" s="259" t="str">
        <f>IF(Locked,"",IFERROR(HYPERLINK(INDEX(Database!$U$8:$U$346,$BQ26),"TOS"),""))</f>
        <v/>
      </c>
      <c r="I26" s="287" t="str">
        <f>IFERROR(INDEX(Database!$Q$8:$Q$346,$BQ26),"")</f>
        <v/>
      </c>
      <c r="J26" s="287"/>
      <c r="K26" s="220" t="str">
        <f>IFERROR(IF(All_In,INDEX(Database!$BQ$8:$BQ$346,$BQ26),INDEX(Database!$BR$8:$BR$346,$BQ26)),"")</f>
        <v/>
      </c>
      <c r="L26" s="221" t="str">
        <f>IFERROR(INDEX(Database!$BO$8:$BO$346,$BQ26),"")</f>
        <v/>
      </c>
      <c r="M26" s="242" t="str">
        <f>IFERROR(INDEX(Database!$CX$8:$CX$346,$BQ26),"")</f>
        <v/>
      </c>
      <c r="N26" s="222" t="str">
        <f>IFERROR(INDEX(Database!$BH$8:$BH$346,$BQ26),"")</f>
        <v/>
      </c>
      <c r="O26" s="223"/>
      <c r="P26" s="223" t="str">
        <f>IFERROR(INDEX(Database!$P$8:$P$346,$BQ26),"")</f>
        <v/>
      </c>
      <c r="Q26" s="239" t="str">
        <f>IFERROR(INDEX(Database!$CR$8:$CR$346,$BQ26),"")</f>
        <v/>
      </c>
      <c r="R26" s="224" t="str">
        <f>IFERROR(INDEX(Database!$AC$8:$AC$346,$BQ26),"")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IFERROR(INDEX(Database!$BJ$8:$BJ$346,$BQ26),"")</f>
        <v/>
      </c>
      <c r="X26" s="300"/>
      <c r="Y26" s="272" t="str">
        <f>IFERROR(IF(ISBLANK(INDEX(TOS!$F$6:$AP$214,$BS26,Y$42)),"",INDEX(TOS!$F$6:$AP$214,$BS26,Y$42)),"")</f>
        <v/>
      </c>
      <c r="Z26" s="270" t="str">
        <f>IFERROR(IF(ISBLANK(INDEX(TOS!$F$6:$AP$214,$BS26,Z$42)),"",INDEX(TOS!$F$6:$AP$214,$BS26,Z$42)),"")</f>
        <v/>
      </c>
      <c r="AA26" s="270" t="str">
        <f>IFERROR(IF(ISBLANK(INDEX(TOS!$F$6:$AP$214,$BS26,AA$42)),"",INDEX(TOS!$F$6:$AP$214,$BS26,AA$42)),"")</f>
        <v/>
      </c>
      <c r="AB26" s="270" t="str">
        <f>IFERROR(IF(ISBLANK(INDEX(TOS!$F$6:$AP$214,$BS26,AB$42)),"",INDEX(TOS!$F$6:$AP$214,$BS26,AB$42)),"")</f>
        <v/>
      </c>
      <c r="AC26" s="270" t="str">
        <f>IFERROR(IF(ISBLANK(INDEX(TOS!$F$6:$AP$214,$BS26,AC$42)),"",INDEX(TOS!$F$6:$AP$214,$BS26,AC$42)),"")</f>
        <v/>
      </c>
      <c r="AD26" s="270" t="str">
        <f>IFERROR(IF(ISBLANK(INDEX(TOS!$F$6:$AP$214,$BS26,AD$42)),"",INDEX(TOS!$F$6:$AP$214,$BS26,AD$42)),"")</f>
        <v/>
      </c>
      <c r="AE26" s="270" t="str">
        <f>IFERROR(IF(ISBLANK(INDEX(TOS!$F$6:$AP$214,$BS26,AE$42)),"",INDEX(TOS!$F$6:$AP$214,$BS26,AE$42)),"")</f>
        <v/>
      </c>
      <c r="AF26" s="270" t="str">
        <f>IFERROR(IF(ISBLANK(INDEX(TOS!$F$6:$AP$214,$BS26,AF$42)),"",INDEX(TOS!$F$6:$AP$214,$BS26,AF$42)),"")</f>
        <v/>
      </c>
      <c r="AG26" s="270" t="str">
        <f>IFERROR(IF(ISBLANK(INDEX(TOS!$F$6:$AP$214,$BS26,AG$42)),"",INDEX(TOS!$F$6:$AP$214,$BS26,AG$42)),"")</f>
        <v/>
      </c>
      <c r="AH26" s="270" t="str">
        <f>IFERROR(IF(ISBLANK(INDEX(TOS!$F$6:$AP$214,$BS26,AH$42)),"",INDEX(TOS!$F$6:$AP$214,$BS26,AH$42)),"")</f>
        <v/>
      </c>
      <c r="AI26" s="270" t="str">
        <f>IFERROR(IF(ISBLANK(INDEX(TOS!$F$6:$AP$214,$BS26,AI$42)),"",INDEX(TOS!$F$6:$AP$214,$BS26,AI$42)),"")</f>
        <v/>
      </c>
      <c r="AJ26" s="270" t="str">
        <f>IFERROR(IF(ISBLANK(INDEX(TOS!$F$6:$AP$214,$BS26,AJ$42)),"",INDEX(TOS!$F$6:$AP$214,$BS26,AJ$42)),"")</f>
        <v/>
      </c>
      <c r="AK26" s="270" t="str">
        <f>IFERROR(IF(ISBLANK(INDEX(TOS!$F$6:$AP$214,$BS26,AK$42)),"",INDEX(TOS!$F$6:$AP$214,$BS26,AK$42)),"")</f>
        <v/>
      </c>
      <c r="AL26" s="270" t="str">
        <f>IFERROR(IF(ISBLANK(INDEX(TOS!$F$6:$AP$214,$BS26,AL$42)),"",INDEX(TOS!$F$6:$AP$214,$BS26,AL$42)),"")</f>
        <v/>
      </c>
      <c r="AM26" s="270" t="str">
        <f>IFERROR(IF(ISBLANK(INDEX(TOS!$F$6:$AP$214,$BS26,AM$42)),"",INDEX(TOS!$F$6:$AP$214,$BS26,AM$42)),"")</f>
        <v/>
      </c>
      <c r="AN26" s="270" t="str">
        <f>IFERROR(IF(ISBLANK(INDEX(TOS!$F$6:$AP$214,$BS26,AN$42)),"",INDEX(TOS!$F$6:$AP$214,$BS26,AN$42)),"")</f>
        <v/>
      </c>
      <c r="AO26" s="270" t="str">
        <f>IFERROR(IF(ISBLANK(INDEX(TOS!$F$6:$AP$214,$BS26,AO$42)),"",INDEX(TOS!$F$6:$AP$214,$BS26,AO$42)),"")</f>
        <v/>
      </c>
      <c r="AP26" s="270" t="str">
        <f>IFERROR(IF(ISBLANK(INDEX(TOS!$F$6:$AP$214,$BS26,AP$42)),"",INDEX(TOS!$F$6:$AP$214,$BS26,AP$42)),"")</f>
        <v/>
      </c>
      <c r="AQ26" s="270" t="str">
        <f>IFERROR(IF(ISBLANK(INDEX(TOS!$F$6:$AP$214,$BS26,AQ$42)),"",INDEX(TOS!$F$6:$AP$214,$BS26,AQ$42)),"")</f>
        <v/>
      </c>
      <c r="AR26" s="270" t="str">
        <f>IFERROR(IF(ISBLANK(INDEX(TOS!$F$6:$AP$214,$BS26,AR$42)),"",INDEX(TOS!$F$6:$AP$214,$BS26,AR$42)),"")</f>
        <v/>
      </c>
      <c r="AS26" s="270" t="str">
        <f>IFERROR(IF(ISBLANK(INDEX(TOS!$F$6:$AP$214,$BS26,AS$42)),"",INDEX(TOS!$F$6:$AP$214,$BS26,AS$42)),"")</f>
        <v/>
      </c>
      <c r="AT26" s="270" t="str">
        <f>IFERROR(IF(ISBLANK(INDEX(TOS!$F$6:$AP$214,$BS26,AT$42)),"",INDEX(TOS!$F$6:$AP$214,$BS26,AT$42)),"")</f>
        <v/>
      </c>
      <c r="AU26" s="270" t="str">
        <f>IFERROR(IF(ISBLANK(INDEX(TOS!$F$6:$AP$214,$BS26,AU$42)),"",INDEX(TOS!$F$6:$AP$214,$BS26,AU$42)),"")</f>
        <v/>
      </c>
      <c r="AV26" s="270" t="str">
        <f>IFERROR(IF(ISBLANK(INDEX(TOS!$F$6:$AP$214,$BS26,AV$42)),"",INDEX(TOS!$F$6:$AP$214,$BS26,AV$42)),"")</f>
        <v/>
      </c>
      <c r="AW26" s="270" t="str">
        <f>IFERROR(IF(ISBLANK(INDEX(TOS!$F$6:$AP$214,$BS26,AW$42)),"",INDEX(TOS!$F$6:$AP$214,$BS26,AW$42)),"")</f>
        <v/>
      </c>
      <c r="AX26" s="270" t="str">
        <f>IFERROR(IF(ISBLANK(INDEX(TOS!$F$6:$AP$214,$BS26,AX$42)),"",INDEX(TOS!$F$6:$AP$214,$BS26,AX$42)),"")</f>
        <v/>
      </c>
      <c r="AY26" s="270" t="str">
        <f>IFERROR(IF(ISBLANK(INDEX(TOS!$F$6:$AP$214,$BS26,AY$42)),"",INDEX(TOS!$F$6:$AP$214,$BS26,AY$42)),"")</f>
        <v/>
      </c>
      <c r="AZ26" s="270" t="str">
        <f>IFERROR(IF(ISBLANK(INDEX(TOS!$F$6:$AP$214,$BS26,AZ$42)),"",INDEX(TOS!$F$6:$AP$214,$BS26,AZ$42)),"")</f>
        <v/>
      </c>
      <c r="BA26" s="270" t="str">
        <f>IFERROR(IF(ISBLANK(INDEX(TOS!$F$6:$AP$214,$BS26,BA$42)),"",INDEX(TOS!$F$6:$AP$214,$BS26,BA$42)),"")</f>
        <v/>
      </c>
      <c r="BB26" s="270" t="str">
        <f>IFERROR(IF(ISBLANK(INDEX(TOS!$F$6:$AP$214,$BS26,BB$42)),"",INDEX(TOS!$F$6:$AP$214,$BS26,BB$42)),"")</f>
        <v/>
      </c>
      <c r="BC26" s="270" t="str">
        <f>IFERROR(IF(ISBLANK(INDEX(TOS!$F$6:$AP$214,$BS26,BC$42)),"",INDEX(TOS!$F$6:$AP$214,$BS26,BC$42)),"")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IF(More_Plans,MATCH($A26,Database!$CG$8:$CG$346,0),NA())</f>
        <v>#N/A</v>
      </c>
      <c r="BR26" s="118">
        <f>Locked*IFERROR((($K26-INDEX(Trends!$AA$5:$AA$8,MATCH($I26,{24,12,6,3},-1)))&lt;BR$25),0)</f>
        <v>0</v>
      </c>
      <c r="BS26" t="e">
        <f>MATCH(SUBSTITUTE(INDEX(Database!$U$8:$U$346,$BQ26),"~","~~"),TOS!$C$6:$C$214,0)</f>
        <v>#N/A</v>
      </c>
      <c r="BT26" t="e">
        <f>MATCH(INDEX(Database!$F$8:$F$346,$BQ26),REP_Info!$D$6:$D$250,0)</f>
        <v>#N/A</v>
      </c>
      <c r="BU26" t="str">
        <f>IFERROR(INDEX(Database!$CV$8:$CV$346,$BQ26),"")</f>
        <v/>
      </c>
      <c r="BV26" t="str">
        <f>""</f>
        <v/>
      </c>
      <c r="BZ26" t="str">
        <f>""</f>
        <v/>
      </c>
      <c r="CD26" t="s">
        <v>192</v>
      </c>
      <c r="CN26" t="e">
        <f>INDEX(Database!$AG$8:$BG$346,$BQ26,CN$22)</f>
        <v>#N/A</v>
      </c>
      <c r="CO26" t="e">
        <f>IF(ISBLANK(INDEX(Database!$AG$8:$BG$346,$BQ26,CO$22)),"",INDEX(Database!$AG$8:$BG$346,$BQ26,CO$22))</f>
        <v>#N/A</v>
      </c>
      <c r="CP26" t="e">
        <f>IF(ISBLANK(INDEX(Database!$AG$8:$BG$346,$BQ26,CP$22)),"",INDEX(Database!$AG$8:$BG$346,$BQ26,CP$22))</f>
        <v>#N/A</v>
      </c>
      <c r="CQ26" t="e">
        <f>IF(ISBLANK(INDEX(Database!$AG$8:$BG$346,$BQ26,CQ$22)),"",INDEX(Database!$AG$8:$BG$346,$BQ26,CQ$22))</f>
        <v>#N/A</v>
      </c>
      <c r="CR26" t="e">
        <f>IF(ISBLANK(INDEX(Database!$AG$8:$BG$346,$BQ26,CR$22)),"",INDEX(Database!$AG$8:$BG$346,$BQ26,CR$22))</f>
        <v>#N/A</v>
      </c>
      <c r="CS26" t="e">
        <f>IF(ISBLANK(INDEX(Database!$AG$8:$BG$346,$BQ26,CS$22)),"",INDEX(Database!$AG$8:$BG$346,$BQ26,CS$22))</f>
        <v>#N/A</v>
      </c>
      <c r="CT26" t="e">
        <f>IF(ISBLANK(INDEX(Database!$AG$8:$BG$346,$BQ26,CT$22)),"",INDEX(Database!$AG$8:$BG$346,$BQ26,CT$22))</f>
        <v>#N/A</v>
      </c>
      <c r="CU26" t="e">
        <f>IF(ISBLANK(INDEX(Database!$AG$8:$BG$346,$BQ26,CU$22)),"",INDEX(Database!$AG$8:$BG$346,$BQ26,CU$22))</f>
        <v>#N/A</v>
      </c>
      <c r="CV26" t="e">
        <f>IF(ISBLANK(INDEX(Database!$AG$8:$BG$346,$BQ26,CV$22)),"",INDEX(Database!$AG$8:$BG$346,$BQ26,CV$22))</f>
        <v>#N/A</v>
      </c>
      <c r="CW26" t="e">
        <f>IF(ISBLANK(INDEX(Database!$AG$8:$BG$346,$BQ26,CW$22)),"",INDEX(Database!$AG$8:$BG$346,$BQ26,CW$22))</f>
        <v>#N/A</v>
      </c>
      <c r="CX26" t="e">
        <f>IF(ISBLANK(INDEX(Database!$AG$8:$BG$346,$BQ26,CX$22)),"",INDEX(Database!$AG$8:$BG$346,$BQ26,CX$22))</f>
        <v>#N/A</v>
      </c>
      <c r="CY26" t="e">
        <f>INDEX(Database!$AG$8:$BG$346,$BQ26,CY$22)</f>
        <v>#N/A</v>
      </c>
      <c r="CZ26" t="e">
        <f>INDEX(Database!$AG$8:$BG$346,$BQ26,CZ$22)</f>
        <v>#N/A</v>
      </c>
      <c r="DA26" t="e">
        <f>INDEX(Database!$AG$8:$BG$346,$BQ26,DA$22)</f>
        <v>#N/A</v>
      </c>
      <c r="DB26" t="e">
        <f>INDEX(Database!$AG$8:$BG$346,$BQ26,DB$22)</f>
        <v>#N/A</v>
      </c>
      <c r="DC26" t="e">
        <f>INDEX(Database!$AG$8:$BG$346,$BQ26,DC$22)</f>
        <v>#N/A</v>
      </c>
      <c r="DD26" t="e">
        <f>INDEX(Database!$AG$8:$BG$346,$BQ26,DD$22)</f>
        <v>#N/A</v>
      </c>
      <c r="DE26" s="31" t="e">
        <f>INDEX(Database!$AG$8:$BG$346,$BQ26,DE$22)</f>
        <v>#N/A</v>
      </c>
      <c r="DF26" s="31" t="e">
        <f>INDEX(Database!$AG$8:$BG$346,$BQ26,DF$22)</f>
        <v>#N/A</v>
      </c>
      <c r="DG26" s="31" t="e">
        <f>INDEX(Database!$AG$8:$BG$346,$BQ26,DG$22)</f>
        <v>#N/A</v>
      </c>
      <c r="DH26" s="31" t="e">
        <f>INDEX(Database!$AG$8:$BG$346,$BQ26,DH$22)</f>
        <v>#N/A</v>
      </c>
      <c r="DI26" s="31" t="e">
        <f>INDEX(Database!$AG$8:$BG$346,$BQ26,DI$22)</f>
        <v>#N/A</v>
      </c>
      <c r="DJ26" s="5" t="e">
        <f>INDEX(Database!$AG$8:$BG$346,$BQ26,DJ$22)</f>
        <v>#N/A</v>
      </c>
      <c r="DK26" s="35" t="e">
        <f>INDEX(Database!$AG$8:$BG$346,$BQ26,DK$22)</f>
        <v>#N/A</v>
      </c>
      <c r="DL26" s="6" t="e">
        <f>INDEX(Database!$AG$8:$BG$346,$BQ26,DL$22)</f>
        <v>#N/A</v>
      </c>
      <c r="DM26" s="35" t="e">
        <f>INDEX(Database!$AG$8:$BG$346,$BQ26,DM$22)</f>
        <v>#N/A</v>
      </c>
      <c r="DN26" s="35" t="e">
        <f>INDEX(Database!$AG$8:$BG$346,$BQ26,DN$22)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IF(More_Plans,IF(Locked,IF(Selected_Plan,$BZ27,$BV27),IFERROR(PROPER(INDEX(Database!$G$8:$G$346,$BQ27)),"")),"")</f>
        <v/>
      </c>
      <c r="C27" s="285"/>
      <c r="D27" s="285"/>
      <c r="E27" s="285"/>
      <c r="F27" s="285"/>
      <c r="G27" s="260" t="str">
        <f>IF(Locked,"",IFERROR(HYPERLINK(INDEX(Database!$Y$8:$Y$346,$BQ27),"EFL"),""))</f>
        <v/>
      </c>
      <c r="H27" s="260" t="str">
        <f>IF(Locked,"",IFERROR(HYPERLINK(INDEX(Database!$U$8:$U$346,$BQ27),"TOS"),""))</f>
        <v/>
      </c>
      <c r="I27" s="284" t="str">
        <f>IFERROR(INDEX(Database!$Q$8:$Q$346,$BQ27),"")</f>
        <v/>
      </c>
      <c r="J27" s="284"/>
      <c r="K27" s="195" t="str">
        <f>IFERROR(IF(All_In,INDEX(Database!$BQ$8:$BQ$346,$BQ27),INDEX(Database!$BR$8:$BR$346,$BQ27)),"")</f>
        <v/>
      </c>
      <c r="L27" s="194" t="str">
        <f>IFERROR(INDEX(Database!$BO$8:$BO$346,$BQ27),"")</f>
        <v/>
      </c>
      <c r="M27" s="243" t="str">
        <f>IFERROR(INDEX(Database!$CX$8:$CX$346,$BQ27),"")</f>
        <v/>
      </c>
      <c r="N27" s="201" t="str">
        <f>IFERROR(INDEX(Database!$BH$8:$BH$346,$BQ27),"")</f>
        <v/>
      </c>
      <c r="O27" s="179"/>
      <c r="P27" s="179" t="str">
        <f>IFERROR(INDEX(Database!$P$8:$P$346,$BQ27),"")</f>
        <v/>
      </c>
      <c r="Q27" s="240" t="str">
        <f>IFERROR(INDEX(Database!$CR$8:$CR$346,$BQ27),"")</f>
        <v/>
      </c>
      <c r="R27" s="180" t="str">
        <f>IFERROR(INDEX(Database!$AC$8:$AC$346,$BQ27),"")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IFERROR(INDEX(Database!$BJ$8:$BJ$346,$BQ27),"")</f>
        <v/>
      </c>
      <c r="X27" s="300"/>
      <c r="Y27" s="272" t="str">
        <f>IFERROR(IF(ISBLANK(INDEX(TOS!$F$6:$AP$214,$BS27,Y$42)),"",INDEX(TOS!$F$6:$AP$214,$BS27,Y$42)),"")</f>
        <v/>
      </c>
      <c r="Z27" s="270" t="str">
        <f>IFERROR(IF(ISBLANK(INDEX(TOS!$F$6:$AP$214,$BS27,Z$42)),"",INDEX(TOS!$F$6:$AP$214,$BS27,Z$42)),"")</f>
        <v/>
      </c>
      <c r="AA27" s="270" t="str">
        <f>IFERROR(IF(ISBLANK(INDEX(TOS!$F$6:$AP$214,$BS27,AA$42)),"",INDEX(TOS!$F$6:$AP$214,$BS27,AA$42)),"")</f>
        <v/>
      </c>
      <c r="AB27" s="270" t="str">
        <f>IFERROR(IF(ISBLANK(INDEX(TOS!$F$6:$AP$214,$BS27,AB$42)),"",INDEX(TOS!$F$6:$AP$214,$BS27,AB$42)),"")</f>
        <v/>
      </c>
      <c r="AC27" s="270" t="str">
        <f>IFERROR(IF(ISBLANK(INDEX(TOS!$F$6:$AP$214,$BS27,AC$42)),"",INDEX(TOS!$F$6:$AP$214,$BS27,AC$42)),"")</f>
        <v/>
      </c>
      <c r="AD27" s="270" t="str">
        <f>IFERROR(IF(ISBLANK(INDEX(TOS!$F$6:$AP$214,$BS27,AD$42)),"",INDEX(TOS!$F$6:$AP$214,$BS27,AD$42)),"")</f>
        <v/>
      </c>
      <c r="AE27" s="270" t="str">
        <f>IFERROR(IF(ISBLANK(INDEX(TOS!$F$6:$AP$214,$BS27,AE$42)),"",INDEX(TOS!$F$6:$AP$214,$BS27,AE$42)),"")</f>
        <v/>
      </c>
      <c r="AF27" s="270" t="str">
        <f>IFERROR(IF(ISBLANK(INDEX(TOS!$F$6:$AP$214,$BS27,AF$42)),"",INDEX(TOS!$F$6:$AP$214,$BS27,AF$42)),"")</f>
        <v/>
      </c>
      <c r="AG27" s="270" t="str">
        <f>IFERROR(IF(ISBLANK(INDEX(TOS!$F$6:$AP$214,$BS27,AG$42)),"",INDEX(TOS!$F$6:$AP$214,$BS27,AG$42)),"")</f>
        <v/>
      </c>
      <c r="AH27" s="270" t="str">
        <f>IFERROR(IF(ISBLANK(INDEX(TOS!$F$6:$AP$214,$BS27,AH$42)),"",INDEX(TOS!$F$6:$AP$214,$BS27,AH$42)),"")</f>
        <v/>
      </c>
      <c r="AI27" s="270" t="str">
        <f>IFERROR(IF(ISBLANK(INDEX(TOS!$F$6:$AP$214,$BS27,AI$42)),"",INDEX(TOS!$F$6:$AP$214,$BS27,AI$42)),"")</f>
        <v/>
      </c>
      <c r="AJ27" s="270" t="str">
        <f>IFERROR(IF(ISBLANK(INDEX(TOS!$F$6:$AP$214,$BS27,AJ$42)),"",INDEX(TOS!$F$6:$AP$214,$BS27,AJ$42)),"")</f>
        <v/>
      </c>
      <c r="AK27" s="270" t="str">
        <f>IFERROR(IF(ISBLANK(INDEX(TOS!$F$6:$AP$214,$BS27,AK$42)),"",INDEX(TOS!$F$6:$AP$214,$BS27,AK$42)),"")</f>
        <v/>
      </c>
      <c r="AL27" s="270" t="str">
        <f>IFERROR(IF(ISBLANK(INDEX(TOS!$F$6:$AP$214,$BS27,AL$42)),"",INDEX(TOS!$F$6:$AP$214,$BS27,AL$42)),"")</f>
        <v/>
      </c>
      <c r="AM27" s="270" t="str">
        <f>IFERROR(IF(ISBLANK(INDEX(TOS!$F$6:$AP$214,$BS27,AM$42)),"",INDEX(TOS!$F$6:$AP$214,$BS27,AM$42)),"")</f>
        <v/>
      </c>
      <c r="AN27" s="270" t="str">
        <f>IFERROR(IF(ISBLANK(INDEX(TOS!$F$6:$AP$214,$BS27,AN$42)),"",INDEX(TOS!$F$6:$AP$214,$BS27,AN$42)),"")</f>
        <v/>
      </c>
      <c r="AO27" s="270" t="str">
        <f>IFERROR(IF(ISBLANK(INDEX(TOS!$F$6:$AP$214,$BS27,AO$42)),"",INDEX(TOS!$F$6:$AP$214,$BS27,AO$42)),"")</f>
        <v/>
      </c>
      <c r="AP27" s="270" t="str">
        <f>IFERROR(IF(ISBLANK(INDEX(TOS!$F$6:$AP$214,$BS27,AP$42)),"",INDEX(TOS!$F$6:$AP$214,$BS27,AP$42)),"")</f>
        <v/>
      </c>
      <c r="AQ27" s="270" t="str">
        <f>IFERROR(IF(ISBLANK(INDEX(TOS!$F$6:$AP$214,$BS27,AQ$42)),"",INDEX(TOS!$F$6:$AP$214,$BS27,AQ$42)),"")</f>
        <v/>
      </c>
      <c r="AR27" s="270" t="str">
        <f>IFERROR(IF(ISBLANK(INDEX(TOS!$F$6:$AP$214,$BS27,AR$42)),"",INDEX(TOS!$F$6:$AP$214,$BS27,AR$42)),"")</f>
        <v/>
      </c>
      <c r="AS27" s="270" t="str">
        <f>IFERROR(IF(ISBLANK(INDEX(TOS!$F$6:$AP$214,$BS27,AS$42)),"",INDEX(TOS!$F$6:$AP$214,$BS27,AS$42)),"")</f>
        <v/>
      </c>
      <c r="AT27" s="270" t="str">
        <f>IFERROR(IF(ISBLANK(INDEX(TOS!$F$6:$AP$214,$BS27,AT$42)),"",INDEX(TOS!$F$6:$AP$214,$BS27,AT$42)),"")</f>
        <v/>
      </c>
      <c r="AU27" s="270" t="str">
        <f>IFERROR(IF(ISBLANK(INDEX(TOS!$F$6:$AP$214,$BS27,AU$42)),"",INDEX(TOS!$F$6:$AP$214,$BS27,AU$42)),"")</f>
        <v/>
      </c>
      <c r="AV27" s="270" t="str">
        <f>IFERROR(IF(ISBLANK(INDEX(TOS!$F$6:$AP$214,$BS27,AV$42)),"",INDEX(TOS!$F$6:$AP$214,$BS27,AV$42)),"")</f>
        <v/>
      </c>
      <c r="AW27" s="270" t="str">
        <f>IFERROR(IF(ISBLANK(INDEX(TOS!$F$6:$AP$214,$BS27,AW$42)),"",INDEX(TOS!$F$6:$AP$214,$BS27,AW$42)),"")</f>
        <v/>
      </c>
      <c r="AX27" s="270" t="str">
        <f>IFERROR(IF(ISBLANK(INDEX(TOS!$F$6:$AP$214,$BS27,AX$42)),"",INDEX(TOS!$F$6:$AP$214,$BS27,AX$42)),"")</f>
        <v/>
      </c>
      <c r="AY27" s="270" t="str">
        <f>IFERROR(IF(ISBLANK(INDEX(TOS!$F$6:$AP$214,$BS27,AY$42)),"",INDEX(TOS!$F$6:$AP$214,$BS27,AY$42)),"")</f>
        <v/>
      </c>
      <c r="AZ27" s="270" t="str">
        <f>IFERROR(IF(ISBLANK(INDEX(TOS!$F$6:$AP$214,$BS27,AZ$42)),"",INDEX(TOS!$F$6:$AP$214,$BS27,AZ$42)),"")</f>
        <v/>
      </c>
      <c r="BA27" s="270" t="str">
        <f>IFERROR(IF(ISBLANK(INDEX(TOS!$F$6:$AP$214,$BS27,BA$42)),"",INDEX(TOS!$F$6:$AP$214,$BS27,BA$42)),"")</f>
        <v/>
      </c>
      <c r="BB27" s="270" t="str">
        <f>IFERROR(IF(ISBLANK(INDEX(TOS!$F$6:$AP$214,$BS27,BB$42)),"",INDEX(TOS!$F$6:$AP$214,$BS27,BB$42)),"")</f>
        <v/>
      </c>
      <c r="BC27" s="270" t="str">
        <f>IFERROR(IF(ISBLANK(INDEX(TOS!$F$6:$AP$214,$BS27,BC$42)),"",INDEX(TOS!$F$6:$AP$214,$BS27,BC$42)),"")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IF(More_Plans,MATCH($A27,Database!$CG$8:$CG$346,0),NA())</f>
        <v>#N/A</v>
      </c>
      <c r="BR27" s="118">
        <f>Locked*IFERROR((($K27-INDEX(Trends!$AA$5:$AA$8,MATCH($I27,{24,12,6,3},-1)))&lt;BR$25),0)</f>
        <v>0</v>
      </c>
      <c r="BS27" t="e">
        <f>MATCH(SUBSTITUTE(INDEX(Database!$U$8:$U$346,$BQ27),"~","~~"),TOS!$C$6:$C$214,0)</f>
        <v>#N/A</v>
      </c>
      <c r="BT27" t="e">
        <f>MATCH(INDEX(Database!$F$8:$F$346,$BQ27),REP_Info!$D$6:$D$250,0)</f>
        <v>#N/A</v>
      </c>
      <c r="BU27" t="str">
        <f>IFERROR(INDEX(Database!$CV$8:$CV$346,$BQ27),"")</f>
        <v/>
      </c>
      <c r="BV27" t="s">
        <v>193</v>
      </c>
      <c r="BZ27" t="str">
        <f>""</f>
        <v/>
      </c>
      <c r="CD27" t="s">
        <v>194</v>
      </c>
      <c r="CN27" t="e">
        <f>INDEX(Database!$AG$8:$BG$346,$BQ27,CN$22)</f>
        <v>#N/A</v>
      </c>
      <c r="CO27" t="e">
        <f>IF(ISBLANK(INDEX(Database!$AG$8:$BG$346,$BQ27,CO$22)),"",INDEX(Database!$AG$8:$BG$346,$BQ27,CO$22))</f>
        <v>#N/A</v>
      </c>
      <c r="CP27" t="e">
        <f>IF(ISBLANK(INDEX(Database!$AG$8:$BG$346,$BQ27,CP$22)),"",INDEX(Database!$AG$8:$BG$346,$BQ27,CP$22))</f>
        <v>#N/A</v>
      </c>
      <c r="CQ27" t="e">
        <f>IF(ISBLANK(INDEX(Database!$AG$8:$BG$346,$BQ27,CQ$22)),"",INDEX(Database!$AG$8:$BG$346,$BQ27,CQ$22))</f>
        <v>#N/A</v>
      </c>
      <c r="CR27" t="e">
        <f>IF(ISBLANK(INDEX(Database!$AG$8:$BG$346,$BQ27,CR$22)),"",INDEX(Database!$AG$8:$BG$346,$BQ27,CR$22))</f>
        <v>#N/A</v>
      </c>
      <c r="CS27" t="e">
        <f>IF(ISBLANK(INDEX(Database!$AG$8:$BG$346,$BQ27,CS$22)),"",INDEX(Database!$AG$8:$BG$346,$BQ27,CS$22))</f>
        <v>#N/A</v>
      </c>
      <c r="CT27" t="e">
        <f>IF(ISBLANK(INDEX(Database!$AG$8:$BG$346,$BQ27,CT$22)),"",INDEX(Database!$AG$8:$BG$346,$BQ27,CT$22))</f>
        <v>#N/A</v>
      </c>
      <c r="CU27" t="e">
        <f>IF(ISBLANK(INDEX(Database!$AG$8:$BG$346,$BQ27,CU$22)),"",INDEX(Database!$AG$8:$BG$346,$BQ27,CU$22))</f>
        <v>#N/A</v>
      </c>
      <c r="CV27" t="e">
        <f>IF(ISBLANK(INDEX(Database!$AG$8:$BG$346,$BQ27,CV$22)),"",INDEX(Database!$AG$8:$BG$346,$BQ27,CV$22))</f>
        <v>#N/A</v>
      </c>
      <c r="CW27" t="e">
        <f>IF(ISBLANK(INDEX(Database!$AG$8:$BG$346,$BQ27,CW$22)),"",INDEX(Database!$AG$8:$BG$346,$BQ27,CW$22))</f>
        <v>#N/A</v>
      </c>
      <c r="CX27" t="e">
        <f>IF(ISBLANK(INDEX(Database!$AG$8:$BG$346,$BQ27,CX$22)),"",INDEX(Database!$AG$8:$BG$346,$BQ27,CX$22))</f>
        <v>#N/A</v>
      </c>
      <c r="CY27" t="e">
        <f>INDEX(Database!$AG$8:$BG$346,$BQ27,CY$22)</f>
        <v>#N/A</v>
      </c>
      <c r="CZ27" t="e">
        <f>INDEX(Database!$AG$8:$BG$346,$BQ27,CZ$22)</f>
        <v>#N/A</v>
      </c>
      <c r="DA27" t="e">
        <f>INDEX(Database!$AG$8:$BG$346,$BQ27,DA$22)</f>
        <v>#N/A</v>
      </c>
      <c r="DB27" t="e">
        <f>INDEX(Database!$AG$8:$BG$346,$BQ27,DB$22)</f>
        <v>#N/A</v>
      </c>
      <c r="DC27" t="e">
        <f>INDEX(Database!$AG$8:$BG$346,$BQ27,DC$22)</f>
        <v>#N/A</v>
      </c>
      <c r="DD27" t="e">
        <f>INDEX(Database!$AG$8:$BG$346,$BQ27,DD$22)</f>
        <v>#N/A</v>
      </c>
      <c r="DE27" s="31" t="e">
        <f>INDEX(Database!$AG$8:$BG$346,$BQ27,DE$22)</f>
        <v>#N/A</v>
      </c>
      <c r="DF27" s="31" t="e">
        <f>INDEX(Database!$AG$8:$BG$346,$BQ27,DF$22)</f>
        <v>#N/A</v>
      </c>
      <c r="DG27" s="31" t="e">
        <f>INDEX(Database!$AG$8:$BG$346,$BQ27,DG$22)</f>
        <v>#N/A</v>
      </c>
      <c r="DH27" s="31" t="e">
        <f>INDEX(Database!$AG$8:$BG$346,$BQ27,DH$22)</f>
        <v>#N/A</v>
      </c>
      <c r="DI27" s="31" t="e">
        <f>INDEX(Database!$AG$8:$BG$346,$BQ27,DI$22)</f>
        <v>#N/A</v>
      </c>
      <c r="DJ27" s="5" t="e">
        <f>INDEX(Database!$AG$8:$BG$346,$BQ27,DJ$22)</f>
        <v>#N/A</v>
      </c>
      <c r="DK27" s="35" t="e">
        <f>INDEX(Database!$AG$8:$BG$346,$BQ27,DK$22)</f>
        <v>#N/A</v>
      </c>
      <c r="DL27" s="6" t="e">
        <f>INDEX(Database!$AG$8:$BG$346,$BQ27,DL$22)</f>
        <v>#N/A</v>
      </c>
      <c r="DM27" s="35" t="e">
        <f>INDEX(Database!$AG$8:$BG$346,$BQ27,DM$22)</f>
        <v>#N/A</v>
      </c>
      <c r="DN27" s="35" t="e">
        <f>INDEX(Database!$AG$8:$BG$346,$BQ27,DN$22)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IF(More_Plans,IF(Locked,IF(Selected_Plan,$BZ28,$BV28),IFERROR(PROPER(INDEX(Database!$G$8:$G$346,$BQ28)),"")),"")</f>
        <v/>
      </c>
      <c r="C28" s="285"/>
      <c r="D28" s="285"/>
      <c r="E28" s="285"/>
      <c r="F28" s="285"/>
      <c r="G28" s="260" t="str">
        <f>IF(Locked,"",IFERROR(HYPERLINK(INDEX(Database!$Y$8:$Y$346,$BQ28),"EFL"),""))</f>
        <v/>
      </c>
      <c r="H28" s="260" t="str">
        <f>IF(Locked,"",IFERROR(HYPERLINK(INDEX(Database!$U$8:$U$346,$BQ28),"TOS"),""))</f>
        <v/>
      </c>
      <c r="I28" s="284" t="str">
        <f>IFERROR(INDEX(Database!$Q$8:$Q$346,$BQ28),"")</f>
        <v/>
      </c>
      <c r="J28" s="284"/>
      <c r="K28" s="195" t="str">
        <f>IFERROR(IF(All_In,INDEX(Database!$BQ$8:$BQ$346,$BQ28),INDEX(Database!$BR$8:$BR$346,$BQ28)),"")</f>
        <v/>
      </c>
      <c r="L28" s="194" t="str">
        <f>IFERROR(INDEX(Database!$BO$8:$BO$346,$BQ28),"")</f>
        <v/>
      </c>
      <c r="M28" s="243" t="str">
        <f>IFERROR(INDEX(Database!$CX$8:$CX$346,$BQ28),"")</f>
        <v/>
      </c>
      <c r="N28" s="201" t="str">
        <f>IFERROR(INDEX(Database!$BH$8:$BH$346,$BQ28),"")</f>
        <v/>
      </c>
      <c r="O28" s="179"/>
      <c r="P28" s="179" t="str">
        <f>IFERROR(INDEX(Database!$P$8:$P$346,$BQ28),"")</f>
        <v/>
      </c>
      <c r="Q28" s="240" t="str">
        <f>IFERROR(INDEX(Database!$CR$8:$CR$346,$BQ28),"")</f>
        <v/>
      </c>
      <c r="R28" s="180" t="str">
        <f>IFERROR(INDEX(Database!$AC$8:$AC$346,$BQ28),"")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IFERROR(INDEX(Database!$BJ$8:$BJ$346,$BQ28),"")</f>
        <v/>
      </c>
      <c r="X28" s="300"/>
      <c r="Y28" s="272" t="str">
        <f>IFERROR(IF(ISBLANK(INDEX(TOS!$F$6:$AP$214,$BS28,Y$42)),"",INDEX(TOS!$F$6:$AP$214,$BS28,Y$42)),"")</f>
        <v/>
      </c>
      <c r="Z28" s="270" t="str">
        <f>IFERROR(IF(ISBLANK(INDEX(TOS!$F$6:$AP$214,$BS28,Z$42)),"",INDEX(TOS!$F$6:$AP$214,$BS28,Z$42)),"")</f>
        <v/>
      </c>
      <c r="AA28" s="270" t="str">
        <f>IFERROR(IF(ISBLANK(INDEX(TOS!$F$6:$AP$214,$BS28,AA$42)),"",INDEX(TOS!$F$6:$AP$214,$BS28,AA$42)),"")</f>
        <v/>
      </c>
      <c r="AB28" s="270" t="str">
        <f>IFERROR(IF(ISBLANK(INDEX(TOS!$F$6:$AP$214,$BS28,AB$42)),"",INDEX(TOS!$F$6:$AP$214,$BS28,AB$42)),"")</f>
        <v/>
      </c>
      <c r="AC28" s="270" t="str">
        <f>IFERROR(IF(ISBLANK(INDEX(TOS!$F$6:$AP$214,$BS28,AC$42)),"",INDEX(TOS!$F$6:$AP$214,$BS28,AC$42)),"")</f>
        <v/>
      </c>
      <c r="AD28" s="270" t="str">
        <f>IFERROR(IF(ISBLANK(INDEX(TOS!$F$6:$AP$214,$BS28,AD$42)),"",INDEX(TOS!$F$6:$AP$214,$BS28,AD$42)),"")</f>
        <v/>
      </c>
      <c r="AE28" s="270" t="str">
        <f>IFERROR(IF(ISBLANK(INDEX(TOS!$F$6:$AP$214,$BS28,AE$42)),"",INDEX(TOS!$F$6:$AP$214,$BS28,AE$42)),"")</f>
        <v/>
      </c>
      <c r="AF28" s="270" t="str">
        <f>IFERROR(IF(ISBLANK(INDEX(TOS!$F$6:$AP$214,$BS28,AF$42)),"",INDEX(TOS!$F$6:$AP$214,$BS28,AF$42)),"")</f>
        <v/>
      </c>
      <c r="AG28" s="270" t="str">
        <f>IFERROR(IF(ISBLANK(INDEX(TOS!$F$6:$AP$214,$BS28,AG$42)),"",INDEX(TOS!$F$6:$AP$214,$BS28,AG$42)),"")</f>
        <v/>
      </c>
      <c r="AH28" s="270" t="str">
        <f>IFERROR(IF(ISBLANK(INDEX(TOS!$F$6:$AP$214,$BS28,AH$42)),"",INDEX(TOS!$F$6:$AP$214,$BS28,AH$42)),"")</f>
        <v/>
      </c>
      <c r="AI28" s="270" t="str">
        <f>IFERROR(IF(ISBLANK(INDEX(TOS!$F$6:$AP$214,$BS28,AI$42)),"",INDEX(TOS!$F$6:$AP$214,$BS28,AI$42)),"")</f>
        <v/>
      </c>
      <c r="AJ28" s="270" t="str">
        <f>IFERROR(IF(ISBLANK(INDEX(TOS!$F$6:$AP$214,$BS28,AJ$42)),"",INDEX(TOS!$F$6:$AP$214,$BS28,AJ$42)),"")</f>
        <v/>
      </c>
      <c r="AK28" s="270" t="str">
        <f>IFERROR(IF(ISBLANK(INDEX(TOS!$F$6:$AP$214,$BS28,AK$42)),"",INDEX(TOS!$F$6:$AP$214,$BS28,AK$42)),"")</f>
        <v/>
      </c>
      <c r="AL28" s="270" t="str">
        <f>IFERROR(IF(ISBLANK(INDEX(TOS!$F$6:$AP$214,$BS28,AL$42)),"",INDEX(TOS!$F$6:$AP$214,$BS28,AL$42)),"")</f>
        <v/>
      </c>
      <c r="AM28" s="270" t="str">
        <f>IFERROR(IF(ISBLANK(INDEX(TOS!$F$6:$AP$214,$BS28,AM$42)),"",INDEX(TOS!$F$6:$AP$214,$BS28,AM$42)),"")</f>
        <v/>
      </c>
      <c r="AN28" s="270" t="str">
        <f>IFERROR(IF(ISBLANK(INDEX(TOS!$F$6:$AP$214,$BS28,AN$42)),"",INDEX(TOS!$F$6:$AP$214,$BS28,AN$42)),"")</f>
        <v/>
      </c>
      <c r="AO28" s="270" t="str">
        <f>IFERROR(IF(ISBLANK(INDEX(TOS!$F$6:$AP$214,$BS28,AO$42)),"",INDEX(TOS!$F$6:$AP$214,$BS28,AO$42)),"")</f>
        <v/>
      </c>
      <c r="AP28" s="270" t="str">
        <f>IFERROR(IF(ISBLANK(INDEX(TOS!$F$6:$AP$214,$BS28,AP$42)),"",INDEX(TOS!$F$6:$AP$214,$BS28,AP$42)),"")</f>
        <v/>
      </c>
      <c r="AQ28" s="270" t="str">
        <f>IFERROR(IF(ISBLANK(INDEX(TOS!$F$6:$AP$214,$BS28,AQ$42)),"",INDEX(TOS!$F$6:$AP$214,$BS28,AQ$42)),"")</f>
        <v/>
      </c>
      <c r="AR28" s="270" t="str">
        <f>IFERROR(IF(ISBLANK(INDEX(TOS!$F$6:$AP$214,$BS28,AR$42)),"",INDEX(TOS!$F$6:$AP$214,$BS28,AR$42)),"")</f>
        <v/>
      </c>
      <c r="AS28" s="270" t="str">
        <f>IFERROR(IF(ISBLANK(INDEX(TOS!$F$6:$AP$214,$BS28,AS$42)),"",INDEX(TOS!$F$6:$AP$214,$BS28,AS$42)),"")</f>
        <v/>
      </c>
      <c r="AT28" s="270" t="str">
        <f>IFERROR(IF(ISBLANK(INDEX(TOS!$F$6:$AP$214,$BS28,AT$42)),"",INDEX(TOS!$F$6:$AP$214,$BS28,AT$42)),"")</f>
        <v/>
      </c>
      <c r="AU28" s="270" t="str">
        <f>IFERROR(IF(ISBLANK(INDEX(TOS!$F$6:$AP$214,$BS28,AU$42)),"",INDEX(TOS!$F$6:$AP$214,$BS28,AU$42)),"")</f>
        <v/>
      </c>
      <c r="AV28" s="270" t="str">
        <f>IFERROR(IF(ISBLANK(INDEX(TOS!$F$6:$AP$214,$BS28,AV$42)),"",INDEX(TOS!$F$6:$AP$214,$BS28,AV$42)),"")</f>
        <v/>
      </c>
      <c r="AW28" s="270" t="str">
        <f>IFERROR(IF(ISBLANK(INDEX(TOS!$F$6:$AP$214,$BS28,AW$42)),"",INDEX(TOS!$F$6:$AP$214,$BS28,AW$42)),"")</f>
        <v/>
      </c>
      <c r="AX28" s="270" t="str">
        <f>IFERROR(IF(ISBLANK(INDEX(TOS!$F$6:$AP$214,$BS28,AX$42)),"",INDEX(TOS!$F$6:$AP$214,$BS28,AX$42)),"")</f>
        <v/>
      </c>
      <c r="AY28" s="270" t="str">
        <f>IFERROR(IF(ISBLANK(INDEX(TOS!$F$6:$AP$214,$BS28,AY$42)),"",INDEX(TOS!$F$6:$AP$214,$BS28,AY$42)),"")</f>
        <v/>
      </c>
      <c r="AZ28" s="270" t="str">
        <f>IFERROR(IF(ISBLANK(INDEX(TOS!$F$6:$AP$214,$BS28,AZ$42)),"",INDEX(TOS!$F$6:$AP$214,$BS28,AZ$42)),"")</f>
        <v/>
      </c>
      <c r="BA28" s="270" t="str">
        <f>IFERROR(IF(ISBLANK(INDEX(TOS!$F$6:$AP$214,$BS28,BA$42)),"",INDEX(TOS!$F$6:$AP$214,$BS28,BA$42)),"")</f>
        <v/>
      </c>
      <c r="BB28" s="270" t="str">
        <f>IFERROR(IF(ISBLANK(INDEX(TOS!$F$6:$AP$214,$BS28,BB$42)),"",INDEX(TOS!$F$6:$AP$214,$BS28,BB$42)),"")</f>
        <v/>
      </c>
      <c r="BC28" s="270" t="str">
        <f>IFERROR(IF(ISBLANK(INDEX(TOS!$F$6:$AP$214,$BS28,BC$42)),"",INDEX(TOS!$F$6:$AP$214,$BS28,BC$42)),"")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IF(More_Plans,MATCH($A28,Database!$CG$8:$CG$346,0),NA())</f>
        <v>#N/A</v>
      </c>
      <c r="BR28" s="118">
        <f>Locked*IFERROR((($K28-INDEX(Trends!$AA$5:$AA$8,MATCH($I28,{24,12,6,3},-1)))&lt;BR$25),0)</f>
        <v>0</v>
      </c>
      <c r="BS28" t="e">
        <f>MATCH(SUBSTITUTE(INDEX(Database!$U$8:$U$346,$BQ28),"~","~~"),TOS!$C$6:$C$214,0)</f>
        <v>#N/A</v>
      </c>
      <c r="BT28" t="e">
        <f>MATCH(INDEX(Database!$F$8:$F$346,$BQ28),REP_Info!$D$6:$D$250,0)</f>
        <v>#N/A</v>
      </c>
      <c r="BU28" t="str">
        <f>IFERROR(INDEX(Database!$CV$8:$CV$346,$BQ28),"")</f>
        <v/>
      </c>
      <c r="BV28" t="s">
        <v>197</v>
      </c>
      <c r="BZ28" t="str">
        <f>""</f>
        <v/>
      </c>
      <c r="CD28" t="s">
        <v>198</v>
      </c>
      <c r="CN28" t="e">
        <f>INDEX(Database!$AG$8:$BG$346,$BQ28,CN$22)</f>
        <v>#N/A</v>
      </c>
      <c r="CO28" t="e">
        <f>IF(ISBLANK(INDEX(Database!$AG$8:$BG$346,$BQ28,CO$22)),"",INDEX(Database!$AG$8:$BG$346,$BQ28,CO$22))</f>
        <v>#N/A</v>
      </c>
      <c r="CP28" t="e">
        <f>IF(ISBLANK(INDEX(Database!$AG$8:$BG$346,$BQ28,CP$22)),"",INDEX(Database!$AG$8:$BG$346,$BQ28,CP$22))</f>
        <v>#N/A</v>
      </c>
      <c r="CQ28" t="e">
        <f>IF(ISBLANK(INDEX(Database!$AG$8:$BG$346,$BQ28,CQ$22)),"",INDEX(Database!$AG$8:$BG$346,$BQ28,CQ$22))</f>
        <v>#N/A</v>
      </c>
      <c r="CR28" t="e">
        <f>IF(ISBLANK(INDEX(Database!$AG$8:$BG$346,$BQ28,CR$22)),"",INDEX(Database!$AG$8:$BG$346,$BQ28,CR$22))</f>
        <v>#N/A</v>
      </c>
      <c r="CS28" t="e">
        <f>IF(ISBLANK(INDEX(Database!$AG$8:$BG$346,$BQ28,CS$22)),"",INDEX(Database!$AG$8:$BG$346,$BQ28,CS$22))</f>
        <v>#N/A</v>
      </c>
      <c r="CT28" t="e">
        <f>IF(ISBLANK(INDEX(Database!$AG$8:$BG$346,$BQ28,CT$22)),"",INDEX(Database!$AG$8:$BG$346,$BQ28,CT$22))</f>
        <v>#N/A</v>
      </c>
      <c r="CU28" t="e">
        <f>IF(ISBLANK(INDEX(Database!$AG$8:$BG$346,$BQ28,CU$22)),"",INDEX(Database!$AG$8:$BG$346,$BQ28,CU$22))</f>
        <v>#N/A</v>
      </c>
      <c r="CV28" t="e">
        <f>IF(ISBLANK(INDEX(Database!$AG$8:$BG$346,$BQ28,CV$22)),"",INDEX(Database!$AG$8:$BG$346,$BQ28,CV$22))</f>
        <v>#N/A</v>
      </c>
      <c r="CW28" t="e">
        <f>IF(ISBLANK(INDEX(Database!$AG$8:$BG$346,$BQ28,CW$22)),"",INDEX(Database!$AG$8:$BG$346,$BQ28,CW$22))</f>
        <v>#N/A</v>
      </c>
      <c r="CX28" t="e">
        <f>IF(ISBLANK(INDEX(Database!$AG$8:$BG$346,$BQ28,CX$22)),"",INDEX(Database!$AG$8:$BG$346,$BQ28,CX$22))</f>
        <v>#N/A</v>
      </c>
      <c r="CY28" t="e">
        <f>INDEX(Database!$AG$8:$BG$346,$BQ28,CY$22)</f>
        <v>#N/A</v>
      </c>
      <c r="CZ28" t="e">
        <f>INDEX(Database!$AG$8:$BG$346,$BQ28,CZ$22)</f>
        <v>#N/A</v>
      </c>
      <c r="DA28" t="e">
        <f>INDEX(Database!$AG$8:$BG$346,$BQ28,DA$22)</f>
        <v>#N/A</v>
      </c>
      <c r="DB28" t="e">
        <f>INDEX(Database!$AG$8:$BG$346,$BQ28,DB$22)</f>
        <v>#N/A</v>
      </c>
      <c r="DC28" t="e">
        <f>INDEX(Database!$AG$8:$BG$346,$BQ28,DC$22)</f>
        <v>#N/A</v>
      </c>
      <c r="DD28" t="e">
        <f>INDEX(Database!$AG$8:$BG$346,$BQ28,DD$22)</f>
        <v>#N/A</v>
      </c>
      <c r="DE28" s="31" t="e">
        <f>INDEX(Database!$AG$8:$BG$346,$BQ28,DE$22)</f>
        <v>#N/A</v>
      </c>
      <c r="DF28" s="31" t="e">
        <f>INDEX(Database!$AG$8:$BG$346,$BQ28,DF$22)</f>
        <v>#N/A</v>
      </c>
      <c r="DG28" s="31" t="e">
        <f>INDEX(Database!$AG$8:$BG$346,$BQ28,DG$22)</f>
        <v>#N/A</v>
      </c>
      <c r="DH28" s="31" t="e">
        <f>INDEX(Database!$AG$8:$BG$346,$BQ28,DH$22)</f>
        <v>#N/A</v>
      </c>
      <c r="DI28" s="31" t="e">
        <f>INDEX(Database!$AG$8:$BG$346,$BQ28,DI$22)</f>
        <v>#N/A</v>
      </c>
      <c r="DJ28" s="5" t="e">
        <f>INDEX(Database!$AG$8:$BG$346,$BQ28,DJ$22)</f>
        <v>#N/A</v>
      </c>
      <c r="DK28" s="35" t="e">
        <f>INDEX(Database!$AG$8:$BG$346,$BQ28,DK$22)</f>
        <v>#N/A</v>
      </c>
      <c r="DL28" s="6" t="e">
        <f>INDEX(Database!$AG$8:$BG$346,$BQ28,DL$22)</f>
        <v>#N/A</v>
      </c>
      <c r="DM28" s="35" t="e">
        <f>INDEX(Database!$AG$8:$BG$346,$BQ28,DM$22)</f>
        <v>#N/A</v>
      </c>
      <c r="DN28" s="35" t="e">
        <f>INDEX(Database!$AG$8:$BG$346,$BQ28,DN$22)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IF(More_Plans,IF(Locked,IF(Selected_Plan,$BZ29,$BV29),IFERROR(PROPER(INDEX(Database!$G$8:$G$346,$BQ29)),"")),"")</f>
        <v/>
      </c>
      <c r="C29" s="285"/>
      <c r="D29" s="285"/>
      <c r="E29" s="285"/>
      <c r="F29" s="285"/>
      <c r="G29" s="260" t="str">
        <f>IF(Locked,"",IFERROR(HYPERLINK(INDEX(Database!$Y$8:$Y$346,$BQ29),"EFL"),""))</f>
        <v/>
      </c>
      <c r="H29" s="260" t="str">
        <f>IF(Locked,"",IFERROR(HYPERLINK(INDEX(Database!$U$8:$U$346,$BQ29),"TOS"),""))</f>
        <v/>
      </c>
      <c r="I29" s="284" t="str">
        <f>IFERROR(INDEX(Database!$Q$8:$Q$346,$BQ29),"")</f>
        <v/>
      </c>
      <c r="J29" s="284"/>
      <c r="K29" s="195" t="str">
        <f>IFERROR(IF(All_In,INDEX(Database!$BQ$8:$BQ$346,$BQ29),INDEX(Database!$BR$8:$BR$346,$BQ29)),"")</f>
        <v/>
      </c>
      <c r="L29" s="194" t="str">
        <f>IFERROR(INDEX(Database!$BO$8:$BO$346,$BQ29),"")</f>
        <v/>
      </c>
      <c r="M29" s="243" t="str">
        <f>IFERROR(INDEX(Database!$CX$8:$CX$346,$BQ29),"")</f>
        <v/>
      </c>
      <c r="N29" s="201" t="str">
        <f>IFERROR(INDEX(Database!$BH$8:$BH$346,$BQ29),"")</f>
        <v/>
      </c>
      <c r="O29" s="179"/>
      <c r="P29" s="179" t="str">
        <f>IFERROR(INDEX(Database!$P$8:$P$346,$BQ29),"")</f>
        <v/>
      </c>
      <c r="Q29" s="240" t="str">
        <f>IFERROR(INDEX(Database!$CR$8:$CR$346,$BQ29),"")</f>
        <v/>
      </c>
      <c r="R29" s="180" t="str">
        <f>IFERROR(INDEX(Database!$AC$8:$AC$346,$BQ29),"")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IFERROR(INDEX(Database!$BJ$8:$BJ$346,$BQ29),"")</f>
        <v/>
      </c>
      <c r="X29" s="300"/>
      <c r="Y29" s="272" t="str">
        <f>IFERROR(IF(ISBLANK(INDEX(TOS!$F$6:$AP$214,$BS29,Y$42)),"",INDEX(TOS!$F$6:$AP$214,$BS29,Y$42)),"")</f>
        <v/>
      </c>
      <c r="Z29" s="270" t="str">
        <f>IFERROR(IF(ISBLANK(INDEX(TOS!$F$6:$AP$214,$BS29,Z$42)),"",INDEX(TOS!$F$6:$AP$214,$BS29,Z$42)),"")</f>
        <v/>
      </c>
      <c r="AA29" s="270" t="str">
        <f>IFERROR(IF(ISBLANK(INDEX(TOS!$F$6:$AP$214,$BS29,AA$42)),"",INDEX(TOS!$F$6:$AP$214,$BS29,AA$42)),"")</f>
        <v/>
      </c>
      <c r="AB29" s="270" t="str">
        <f>IFERROR(IF(ISBLANK(INDEX(TOS!$F$6:$AP$214,$BS29,AB$42)),"",INDEX(TOS!$F$6:$AP$214,$BS29,AB$42)),"")</f>
        <v/>
      </c>
      <c r="AC29" s="270" t="str">
        <f>IFERROR(IF(ISBLANK(INDEX(TOS!$F$6:$AP$214,$BS29,AC$42)),"",INDEX(TOS!$F$6:$AP$214,$BS29,AC$42)),"")</f>
        <v/>
      </c>
      <c r="AD29" s="270" t="str">
        <f>IFERROR(IF(ISBLANK(INDEX(TOS!$F$6:$AP$214,$BS29,AD$42)),"",INDEX(TOS!$F$6:$AP$214,$BS29,AD$42)),"")</f>
        <v/>
      </c>
      <c r="AE29" s="270" t="str">
        <f>IFERROR(IF(ISBLANK(INDEX(TOS!$F$6:$AP$214,$BS29,AE$42)),"",INDEX(TOS!$F$6:$AP$214,$BS29,AE$42)),"")</f>
        <v/>
      </c>
      <c r="AF29" s="270" t="str">
        <f>IFERROR(IF(ISBLANK(INDEX(TOS!$F$6:$AP$214,$BS29,AF$42)),"",INDEX(TOS!$F$6:$AP$214,$BS29,AF$42)),"")</f>
        <v/>
      </c>
      <c r="AG29" s="270" t="str">
        <f>IFERROR(IF(ISBLANK(INDEX(TOS!$F$6:$AP$214,$BS29,AG$42)),"",INDEX(TOS!$F$6:$AP$214,$BS29,AG$42)),"")</f>
        <v/>
      </c>
      <c r="AH29" s="270" t="str">
        <f>IFERROR(IF(ISBLANK(INDEX(TOS!$F$6:$AP$214,$BS29,AH$42)),"",INDEX(TOS!$F$6:$AP$214,$BS29,AH$42)),"")</f>
        <v/>
      </c>
      <c r="AI29" s="270" t="str">
        <f>IFERROR(IF(ISBLANK(INDEX(TOS!$F$6:$AP$214,$BS29,AI$42)),"",INDEX(TOS!$F$6:$AP$214,$BS29,AI$42)),"")</f>
        <v/>
      </c>
      <c r="AJ29" s="270" t="str">
        <f>IFERROR(IF(ISBLANK(INDEX(TOS!$F$6:$AP$214,$BS29,AJ$42)),"",INDEX(TOS!$F$6:$AP$214,$BS29,AJ$42)),"")</f>
        <v/>
      </c>
      <c r="AK29" s="270" t="str">
        <f>IFERROR(IF(ISBLANK(INDEX(TOS!$F$6:$AP$214,$BS29,AK$42)),"",INDEX(TOS!$F$6:$AP$214,$BS29,AK$42)),"")</f>
        <v/>
      </c>
      <c r="AL29" s="270" t="str">
        <f>IFERROR(IF(ISBLANK(INDEX(TOS!$F$6:$AP$214,$BS29,AL$42)),"",INDEX(TOS!$F$6:$AP$214,$BS29,AL$42)),"")</f>
        <v/>
      </c>
      <c r="AM29" s="270" t="str">
        <f>IFERROR(IF(ISBLANK(INDEX(TOS!$F$6:$AP$214,$BS29,AM$42)),"",INDEX(TOS!$F$6:$AP$214,$BS29,AM$42)),"")</f>
        <v/>
      </c>
      <c r="AN29" s="270" t="str">
        <f>IFERROR(IF(ISBLANK(INDEX(TOS!$F$6:$AP$214,$BS29,AN$42)),"",INDEX(TOS!$F$6:$AP$214,$BS29,AN$42)),"")</f>
        <v/>
      </c>
      <c r="AO29" s="270" t="str">
        <f>IFERROR(IF(ISBLANK(INDEX(TOS!$F$6:$AP$214,$BS29,AO$42)),"",INDEX(TOS!$F$6:$AP$214,$BS29,AO$42)),"")</f>
        <v/>
      </c>
      <c r="AP29" s="270" t="str">
        <f>IFERROR(IF(ISBLANK(INDEX(TOS!$F$6:$AP$214,$BS29,AP$42)),"",INDEX(TOS!$F$6:$AP$214,$BS29,AP$42)),"")</f>
        <v/>
      </c>
      <c r="AQ29" s="270" t="str">
        <f>IFERROR(IF(ISBLANK(INDEX(TOS!$F$6:$AP$214,$BS29,AQ$42)),"",INDEX(TOS!$F$6:$AP$214,$BS29,AQ$42)),"")</f>
        <v/>
      </c>
      <c r="AR29" s="270" t="str">
        <f>IFERROR(IF(ISBLANK(INDEX(TOS!$F$6:$AP$214,$BS29,AR$42)),"",INDEX(TOS!$F$6:$AP$214,$BS29,AR$42)),"")</f>
        <v/>
      </c>
      <c r="AS29" s="270" t="str">
        <f>IFERROR(IF(ISBLANK(INDEX(TOS!$F$6:$AP$214,$BS29,AS$42)),"",INDEX(TOS!$F$6:$AP$214,$BS29,AS$42)),"")</f>
        <v/>
      </c>
      <c r="AT29" s="270" t="str">
        <f>IFERROR(IF(ISBLANK(INDEX(TOS!$F$6:$AP$214,$BS29,AT$42)),"",INDEX(TOS!$F$6:$AP$214,$BS29,AT$42)),"")</f>
        <v/>
      </c>
      <c r="AU29" s="270" t="str">
        <f>IFERROR(IF(ISBLANK(INDEX(TOS!$F$6:$AP$214,$BS29,AU$42)),"",INDEX(TOS!$F$6:$AP$214,$BS29,AU$42)),"")</f>
        <v/>
      </c>
      <c r="AV29" s="270" t="str">
        <f>IFERROR(IF(ISBLANK(INDEX(TOS!$F$6:$AP$214,$BS29,AV$42)),"",INDEX(TOS!$F$6:$AP$214,$BS29,AV$42)),"")</f>
        <v/>
      </c>
      <c r="AW29" s="270" t="str">
        <f>IFERROR(IF(ISBLANK(INDEX(TOS!$F$6:$AP$214,$BS29,AW$42)),"",INDEX(TOS!$F$6:$AP$214,$BS29,AW$42)),"")</f>
        <v/>
      </c>
      <c r="AX29" s="270" t="str">
        <f>IFERROR(IF(ISBLANK(INDEX(TOS!$F$6:$AP$214,$BS29,AX$42)),"",INDEX(TOS!$F$6:$AP$214,$BS29,AX$42)),"")</f>
        <v/>
      </c>
      <c r="AY29" s="270" t="str">
        <f>IFERROR(IF(ISBLANK(INDEX(TOS!$F$6:$AP$214,$BS29,AY$42)),"",INDEX(TOS!$F$6:$AP$214,$BS29,AY$42)),"")</f>
        <v/>
      </c>
      <c r="AZ29" s="270" t="str">
        <f>IFERROR(IF(ISBLANK(INDEX(TOS!$F$6:$AP$214,$BS29,AZ$42)),"",INDEX(TOS!$F$6:$AP$214,$BS29,AZ$42)),"")</f>
        <v/>
      </c>
      <c r="BA29" s="270" t="str">
        <f>IFERROR(IF(ISBLANK(INDEX(TOS!$F$6:$AP$214,$BS29,BA$42)),"",INDEX(TOS!$F$6:$AP$214,$BS29,BA$42)),"")</f>
        <v/>
      </c>
      <c r="BB29" s="270" t="str">
        <f>IFERROR(IF(ISBLANK(INDEX(TOS!$F$6:$AP$214,$BS29,BB$42)),"",INDEX(TOS!$F$6:$AP$214,$BS29,BB$42)),"")</f>
        <v/>
      </c>
      <c r="BC29" s="270" t="str">
        <f>IFERROR(IF(ISBLANK(INDEX(TOS!$F$6:$AP$214,$BS29,BC$42)),"",INDEX(TOS!$F$6:$AP$214,$BS29,BC$42)),"")</f>
        <v/>
      </c>
      <c r="BD29" s="177"/>
      <c r="BE29" s="86" t="s">
        <v>199</v>
      </c>
      <c r="BF29" s="6" t="e">
        <f>MATCH(1,Database!$CE$8:$CE$346,0)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IF(More_Plans,MATCH($A29,Database!$CG$8:$CG$346,0),NA())</f>
        <v>#N/A</v>
      </c>
      <c r="BR29" s="118">
        <f>Locked*IFERROR((($K29-INDEX(Trends!$AA$5:$AA$8,MATCH($I29,{24,12,6,3},-1)))&lt;BR$25),0)</f>
        <v>0</v>
      </c>
      <c r="BS29" t="e">
        <f>MATCH(SUBSTITUTE(INDEX(Database!$U$8:$U$346,$BQ29),"~","~~"),TOS!$C$6:$C$214,0)</f>
        <v>#N/A</v>
      </c>
      <c r="BT29" t="e">
        <f>MATCH(INDEX(Database!$F$8:$F$346,$BQ29),REP_Info!$D$6:$D$250,0)</f>
        <v>#N/A</v>
      </c>
      <c r="BU29" t="str">
        <f>IFERROR(INDEX(Database!$CV$8:$CV$346,$BQ29),"")</f>
        <v/>
      </c>
      <c r="BV29" t="s">
        <v>201</v>
      </c>
      <c r="BZ29" t="str">
        <f>""</f>
        <v/>
      </c>
      <c r="CD29" t="str">
        <f>""</f>
        <v/>
      </c>
      <c r="CN29" t="e">
        <f>INDEX(Database!$AG$8:$BG$346,$BQ29,CN$22)</f>
        <v>#N/A</v>
      </c>
      <c r="CO29" t="e">
        <f>IF(ISBLANK(INDEX(Database!$AG$8:$BG$346,$BQ29,CO$22)),"",INDEX(Database!$AG$8:$BG$346,$BQ29,CO$22))</f>
        <v>#N/A</v>
      </c>
      <c r="CP29" t="e">
        <f>IF(ISBLANK(INDEX(Database!$AG$8:$BG$346,$BQ29,CP$22)),"",INDEX(Database!$AG$8:$BG$346,$BQ29,CP$22))</f>
        <v>#N/A</v>
      </c>
      <c r="CQ29" t="e">
        <f>IF(ISBLANK(INDEX(Database!$AG$8:$BG$346,$BQ29,CQ$22)),"",INDEX(Database!$AG$8:$BG$346,$BQ29,CQ$22))</f>
        <v>#N/A</v>
      </c>
      <c r="CR29" t="e">
        <f>IF(ISBLANK(INDEX(Database!$AG$8:$BG$346,$BQ29,CR$22)),"",INDEX(Database!$AG$8:$BG$346,$BQ29,CR$22))</f>
        <v>#N/A</v>
      </c>
      <c r="CS29" t="e">
        <f>IF(ISBLANK(INDEX(Database!$AG$8:$BG$346,$BQ29,CS$22)),"",INDEX(Database!$AG$8:$BG$346,$BQ29,CS$22))</f>
        <v>#N/A</v>
      </c>
      <c r="CT29" t="e">
        <f>IF(ISBLANK(INDEX(Database!$AG$8:$BG$346,$BQ29,CT$22)),"",INDEX(Database!$AG$8:$BG$346,$BQ29,CT$22))</f>
        <v>#N/A</v>
      </c>
      <c r="CU29" t="e">
        <f>IF(ISBLANK(INDEX(Database!$AG$8:$BG$346,$BQ29,CU$22)),"",INDEX(Database!$AG$8:$BG$346,$BQ29,CU$22))</f>
        <v>#N/A</v>
      </c>
      <c r="CV29" t="e">
        <f>IF(ISBLANK(INDEX(Database!$AG$8:$BG$346,$BQ29,CV$22)),"",INDEX(Database!$AG$8:$BG$346,$BQ29,CV$22))</f>
        <v>#N/A</v>
      </c>
      <c r="CW29" t="e">
        <f>IF(ISBLANK(INDEX(Database!$AG$8:$BG$346,$BQ29,CW$22)),"",INDEX(Database!$AG$8:$BG$346,$BQ29,CW$22))</f>
        <v>#N/A</v>
      </c>
      <c r="CX29" t="e">
        <f>IF(ISBLANK(INDEX(Database!$AG$8:$BG$346,$BQ29,CX$22)),"",INDEX(Database!$AG$8:$BG$346,$BQ29,CX$22))</f>
        <v>#N/A</v>
      </c>
      <c r="CY29" t="e">
        <f>INDEX(Database!$AG$8:$BG$346,$BQ29,CY$22)</f>
        <v>#N/A</v>
      </c>
      <c r="CZ29" t="e">
        <f>INDEX(Database!$AG$8:$BG$346,$BQ29,CZ$22)</f>
        <v>#N/A</v>
      </c>
      <c r="DA29" t="e">
        <f>INDEX(Database!$AG$8:$BG$346,$BQ29,DA$22)</f>
        <v>#N/A</v>
      </c>
      <c r="DB29" t="e">
        <f>INDEX(Database!$AG$8:$BG$346,$BQ29,DB$22)</f>
        <v>#N/A</v>
      </c>
      <c r="DC29" t="e">
        <f>INDEX(Database!$AG$8:$BG$346,$BQ29,DC$22)</f>
        <v>#N/A</v>
      </c>
      <c r="DD29" t="e">
        <f>INDEX(Database!$AG$8:$BG$346,$BQ29,DD$22)</f>
        <v>#N/A</v>
      </c>
      <c r="DE29" s="31" t="e">
        <f>INDEX(Database!$AG$8:$BG$346,$BQ29,DE$22)</f>
        <v>#N/A</v>
      </c>
      <c r="DF29" s="31" t="e">
        <f>INDEX(Database!$AG$8:$BG$346,$BQ29,DF$22)</f>
        <v>#N/A</v>
      </c>
      <c r="DG29" s="31" t="e">
        <f>INDEX(Database!$AG$8:$BG$346,$BQ29,DG$22)</f>
        <v>#N/A</v>
      </c>
      <c r="DH29" s="31" t="e">
        <f>INDEX(Database!$AG$8:$BG$346,$BQ29,DH$22)</f>
        <v>#N/A</v>
      </c>
      <c r="DI29" s="31" t="e">
        <f>INDEX(Database!$AG$8:$BG$346,$BQ29,DI$22)</f>
        <v>#N/A</v>
      </c>
      <c r="DJ29" s="5" t="e">
        <f>INDEX(Database!$AG$8:$BG$346,$BQ29,DJ$22)</f>
        <v>#N/A</v>
      </c>
      <c r="DK29" s="35" t="e">
        <f>INDEX(Database!$AG$8:$BG$346,$BQ29,DK$22)</f>
        <v>#N/A</v>
      </c>
      <c r="DL29" s="6" t="e">
        <f>INDEX(Database!$AG$8:$BG$346,$BQ29,DL$22)</f>
        <v>#N/A</v>
      </c>
      <c r="DM29" s="35" t="e">
        <f>INDEX(Database!$AG$8:$BG$346,$BQ29,DM$22)</f>
        <v>#N/A</v>
      </c>
      <c r="DN29" s="35" t="e">
        <f>INDEX(Database!$AG$8:$BG$346,$BQ29,DN$22)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IF(More_Plans,IF(Locked,IF(Selected_Plan,$BZ30,$BV30),IFERROR(PROPER(INDEX(Database!$G$8:$G$346,$BQ30)),"")),"")</f>
        <v/>
      </c>
      <c r="C30" s="285"/>
      <c r="D30" s="285"/>
      <c r="E30" s="285"/>
      <c r="F30" s="285"/>
      <c r="G30" s="260" t="str">
        <f>IF(Locked,"",IFERROR(HYPERLINK(INDEX(Database!$Y$8:$Y$346,$BQ30),"EFL"),""))</f>
        <v/>
      </c>
      <c r="H30" s="260" t="str">
        <f>IF(Locked,"",IFERROR(HYPERLINK(INDEX(Database!$U$8:$U$346,$BQ30),"TOS"),""))</f>
        <v/>
      </c>
      <c r="I30" s="284" t="str">
        <f>IFERROR(INDEX(Database!$Q$8:$Q$346,$BQ30),"")</f>
        <v/>
      </c>
      <c r="J30" s="284"/>
      <c r="K30" s="195" t="str">
        <f>IFERROR(IF(All_In,INDEX(Database!$BQ$8:$BQ$346,$BQ30),INDEX(Database!$BR$8:$BR$346,$BQ30)),"")</f>
        <v/>
      </c>
      <c r="L30" s="194" t="str">
        <f>IFERROR(INDEX(Database!$BO$8:$BO$346,$BQ30),"")</f>
        <v/>
      </c>
      <c r="M30" s="243" t="str">
        <f>IFERROR(INDEX(Database!$CX$8:$CX$346,$BQ30),"")</f>
        <v/>
      </c>
      <c r="N30" s="201" t="str">
        <f>IFERROR(INDEX(Database!$BH$8:$BH$346,$BQ30),"")</f>
        <v/>
      </c>
      <c r="O30" s="179"/>
      <c r="P30" s="179" t="str">
        <f>IFERROR(INDEX(Database!$P$8:$P$346,$BQ30),"")</f>
        <v/>
      </c>
      <c r="Q30" s="240" t="str">
        <f>IFERROR(INDEX(Database!$CR$8:$CR$346,$BQ30),"")</f>
        <v/>
      </c>
      <c r="R30" s="180" t="str">
        <f>IFERROR(INDEX(Database!$AC$8:$AC$346,$BQ30),"")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IFERROR(INDEX(Database!$BJ$8:$BJ$346,$BQ30),"")</f>
        <v/>
      </c>
      <c r="X30" s="300"/>
      <c r="Y30" s="272" t="str">
        <f>IFERROR(IF(ISBLANK(INDEX(TOS!$F$6:$AP$214,$BS30,Y$42)),"",INDEX(TOS!$F$6:$AP$214,$BS30,Y$42)),"")</f>
        <v/>
      </c>
      <c r="Z30" s="270" t="str">
        <f>IFERROR(IF(ISBLANK(INDEX(TOS!$F$6:$AP$214,$BS30,Z$42)),"",INDEX(TOS!$F$6:$AP$214,$BS30,Z$42)),"")</f>
        <v/>
      </c>
      <c r="AA30" s="270" t="str">
        <f>IFERROR(IF(ISBLANK(INDEX(TOS!$F$6:$AP$214,$BS30,AA$42)),"",INDEX(TOS!$F$6:$AP$214,$BS30,AA$42)),"")</f>
        <v/>
      </c>
      <c r="AB30" s="270" t="str">
        <f>IFERROR(IF(ISBLANK(INDEX(TOS!$F$6:$AP$214,$BS30,AB$42)),"",INDEX(TOS!$F$6:$AP$214,$BS30,AB$42)),"")</f>
        <v/>
      </c>
      <c r="AC30" s="270" t="str">
        <f>IFERROR(IF(ISBLANK(INDEX(TOS!$F$6:$AP$214,$BS30,AC$42)),"",INDEX(TOS!$F$6:$AP$214,$BS30,AC$42)),"")</f>
        <v/>
      </c>
      <c r="AD30" s="270" t="str">
        <f>IFERROR(IF(ISBLANK(INDEX(TOS!$F$6:$AP$214,$BS30,AD$42)),"",INDEX(TOS!$F$6:$AP$214,$BS30,AD$42)),"")</f>
        <v/>
      </c>
      <c r="AE30" s="270" t="str">
        <f>IFERROR(IF(ISBLANK(INDEX(TOS!$F$6:$AP$214,$BS30,AE$42)),"",INDEX(TOS!$F$6:$AP$214,$BS30,AE$42)),"")</f>
        <v/>
      </c>
      <c r="AF30" s="270" t="str">
        <f>IFERROR(IF(ISBLANK(INDEX(TOS!$F$6:$AP$214,$BS30,AF$42)),"",INDEX(TOS!$F$6:$AP$214,$BS30,AF$42)),"")</f>
        <v/>
      </c>
      <c r="AG30" s="270" t="str">
        <f>IFERROR(IF(ISBLANK(INDEX(TOS!$F$6:$AP$214,$BS30,AG$42)),"",INDEX(TOS!$F$6:$AP$214,$BS30,AG$42)),"")</f>
        <v/>
      </c>
      <c r="AH30" s="270" t="str">
        <f>IFERROR(IF(ISBLANK(INDEX(TOS!$F$6:$AP$214,$BS30,AH$42)),"",INDEX(TOS!$F$6:$AP$214,$BS30,AH$42)),"")</f>
        <v/>
      </c>
      <c r="AI30" s="270" t="str">
        <f>IFERROR(IF(ISBLANK(INDEX(TOS!$F$6:$AP$214,$BS30,AI$42)),"",INDEX(TOS!$F$6:$AP$214,$BS30,AI$42)),"")</f>
        <v/>
      </c>
      <c r="AJ30" s="270" t="str">
        <f>IFERROR(IF(ISBLANK(INDEX(TOS!$F$6:$AP$214,$BS30,AJ$42)),"",INDEX(TOS!$F$6:$AP$214,$BS30,AJ$42)),"")</f>
        <v/>
      </c>
      <c r="AK30" s="270" t="str">
        <f>IFERROR(IF(ISBLANK(INDEX(TOS!$F$6:$AP$214,$BS30,AK$42)),"",INDEX(TOS!$F$6:$AP$214,$BS30,AK$42)),"")</f>
        <v/>
      </c>
      <c r="AL30" s="270" t="str">
        <f>IFERROR(IF(ISBLANK(INDEX(TOS!$F$6:$AP$214,$BS30,AL$42)),"",INDEX(TOS!$F$6:$AP$214,$BS30,AL$42)),"")</f>
        <v/>
      </c>
      <c r="AM30" s="270" t="str">
        <f>IFERROR(IF(ISBLANK(INDEX(TOS!$F$6:$AP$214,$BS30,AM$42)),"",INDEX(TOS!$F$6:$AP$214,$BS30,AM$42)),"")</f>
        <v/>
      </c>
      <c r="AN30" s="270" t="str">
        <f>IFERROR(IF(ISBLANK(INDEX(TOS!$F$6:$AP$214,$BS30,AN$42)),"",INDEX(TOS!$F$6:$AP$214,$BS30,AN$42)),"")</f>
        <v/>
      </c>
      <c r="AO30" s="270" t="str">
        <f>IFERROR(IF(ISBLANK(INDEX(TOS!$F$6:$AP$214,$BS30,AO$42)),"",INDEX(TOS!$F$6:$AP$214,$BS30,AO$42)),"")</f>
        <v/>
      </c>
      <c r="AP30" s="270" t="str">
        <f>IFERROR(IF(ISBLANK(INDEX(TOS!$F$6:$AP$214,$BS30,AP$42)),"",INDEX(TOS!$F$6:$AP$214,$BS30,AP$42)),"")</f>
        <v/>
      </c>
      <c r="AQ30" s="270" t="str">
        <f>IFERROR(IF(ISBLANK(INDEX(TOS!$F$6:$AP$214,$BS30,AQ$42)),"",INDEX(TOS!$F$6:$AP$214,$BS30,AQ$42)),"")</f>
        <v/>
      </c>
      <c r="AR30" s="270" t="str">
        <f>IFERROR(IF(ISBLANK(INDEX(TOS!$F$6:$AP$214,$BS30,AR$42)),"",INDEX(TOS!$F$6:$AP$214,$BS30,AR$42)),"")</f>
        <v/>
      </c>
      <c r="AS30" s="270" t="str">
        <f>IFERROR(IF(ISBLANK(INDEX(TOS!$F$6:$AP$214,$BS30,AS$42)),"",INDEX(TOS!$F$6:$AP$214,$BS30,AS$42)),"")</f>
        <v/>
      </c>
      <c r="AT30" s="270" t="str">
        <f>IFERROR(IF(ISBLANK(INDEX(TOS!$F$6:$AP$214,$BS30,AT$42)),"",INDEX(TOS!$F$6:$AP$214,$BS30,AT$42)),"")</f>
        <v/>
      </c>
      <c r="AU30" s="270" t="str">
        <f>IFERROR(IF(ISBLANK(INDEX(TOS!$F$6:$AP$214,$BS30,AU$42)),"",INDEX(TOS!$F$6:$AP$214,$BS30,AU$42)),"")</f>
        <v/>
      </c>
      <c r="AV30" s="270" t="str">
        <f>IFERROR(IF(ISBLANK(INDEX(TOS!$F$6:$AP$214,$BS30,AV$42)),"",INDEX(TOS!$F$6:$AP$214,$BS30,AV$42)),"")</f>
        <v/>
      </c>
      <c r="AW30" s="270" t="str">
        <f>IFERROR(IF(ISBLANK(INDEX(TOS!$F$6:$AP$214,$BS30,AW$42)),"",INDEX(TOS!$F$6:$AP$214,$BS30,AW$42)),"")</f>
        <v/>
      </c>
      <c r="AX30" s="270" t="str">
        <f>IFERROR(IF(ISBLANK(INDEX(TOS!$F$6:$AP$214,$BS30,AX$42)),"",INDEX(TOS!$F$6:$AP$214,$BS30,AX$42)),"")</f>
        <v/>
      </c>
      <c r="AY30" s="270" t="str">
        <f>IFERROR(IF(ISBLANK(INDEX(TOS!$F$6:$AP$214,$BS30,AY$42)),"",INDEX(TOS!$F$6:$AP$214,$BS30,AY$42)),"")</f>
        <v/>
      </c>
      <c r="AZ30" s="270" t="str">
        <f>IFERROR(IF(ISBLANK(INDEX(TOS!$F$6:$AP$214,$BS30,AZ$42)),"",INDEX(TOS!$F$6:$AP$214,$BS30,AZ$42)),"")</f>
        <v/>
      </c>
      <c r="BA30" s="270" t="str">
        <f>IFERROR(IF(ISBLANK(INDEX(TOS!$F$6:$AP$214,$BS30,BA$42)),"",INDEX(TOS!$F$6:$AP$214,$BS30,BA$42)),"")</f>
        <v/>
      </c>
      <c r="BB30" s="270" t="str">
        <f>IFERROR(IF(ISBLANK(INDEX(TOS!$F$6:$AP$214,$BS30,BB$42)),"",INDEX(TOS!$F$6:$AP$214,$BS30,BB$42)),"")</f>
        <v/>
      </c>
      <c r="BC30" s="270" t="str">
        <f>IFERROR(IF(ISBLANK(INDEX(TOS!$F$6:$AP$214,$BS30,BC$42)),"",INDEX(TOS!$F$6:$AP$214,$BS30,BC$42)),"")</f>
        <v/>
      </c>
      <c r="BD30" s="177"/>
      <c r="BE30" s="86" t="s">
        <v>202</v>
      </c>
      <c r="BF30" s="6" t="e">
        <f>INDEX(Database!CG$8:CG$346,$BF29)</f>
        <v>#N/A</v>
      </c>
      <c r="BG30" t="s">
        <v>203</v>
      </c>
      <c r="BH30" t="str">
        <f>IF(ISNA(Trends!$H$5),REPT("█",4),"")</f>
        <v>████</v>
      </c>
      <c r="BJ30" s="90" t="s">
        <v>204</v>
      </c>
      <c r="BL30" s="183"/>
      <c r="BQ30" s="6" t="e">
        <f>IF(More_Plans,MATCH($A30,Database!$CG$8:$CG$346,0),NA())</f>
        <v>#N/A</v>
      </c>
      <c r="BR30" s="118">
        <f>Locked*IFERROR((($K30-INDEX(Trends!$AA$5:$AA$8,MATCH($I30,{24,12,6,3},-1)))&lt;BR$25),0)</f>
        <v>0</v>
      </c>
      <c r="BS30" t="e">
        <f>MATCH(SUBSTITUTE(INDEX(Database!$U$8:$U$346,$BQ30),"~","~~"),TOS!$C$6:$C$214,0)</f>
        <v>#N/A</v>
      </c>
      <c r="BT30" t="e">
        <f>MATCH(INDEX(Database!$F$8:$F$346,$BQ30),REP_Info!$D$6:$D$250,0)</f>
        <v>#N/A</v>
      </c>
      <c r="BU30" t="str">
        <f>IFERROR(INDEX(Database!$CV$8:$CV$346,$BQ30),"")</f>
        <v/>
      </c>
      <c r="BV30" t="str">
        <f>""</f>
        <v/>
      </c>
      <c r="BZ30" t="s">
        <v>205</v>
      </c>
      <c r="CD30" t="str">
        <f>""</f>
        <v/>
      </c>
      <c r="CN30" t="e">
        <f>INDEX(Database!$AG$8:$BG$346,$BQ30,CN$22)</f>
        <v>#N/A</v>
      </c>
      <c r="CO30" t="e">
        <f>IF(ISBLANK(INDEX(Database!$AG$8:$BG$346,$BQ30,CO$22)),"",INDEX(Database!$AG$8:$BG$346,$BQ30,CO$22))</f>
        <v>#N/A</v>
      </c>
      <c r="CP30" t="e">
        <f>IF(ISBLANK(INDEX(Database!$AG$8:$BG$346,$BQ30,CP$22)),"",INDEX(Database!$AG$8:$BG$346,$BQ30,CP$22))</f>
        <v>#N/A</v>
      </c>
      <c r="CQ30" t="e">
        <f>IF(ISBLANK(INDEX(Database!$AG$8:$BG$346,$BQ30,CQ$22)),"",INDEX(Database!$AG$8:$BG$346,$BQ30,CQ$22))</f>
        <v>#N/A</v>
      </c>
      <c r="CR30" t="e">
        <f>IF(ISBLANK(INDEX(Database!$AG$8:$BG$346,$BQ30,CR$22)),"",INDEX(Database!$AG$8:$BG$346,$BQ30,CR$22))</f>
        <v>#N/A</v>
      </c>
      <c r="CS30" t="e">
        <f>IF(ISBLANK(INDEX(Database!$AG$8:$BG$346,$BQ30,CS$22)),"",INDEX(Database!$AG$8:$BG$346,$BQ30,CS$22))</f>
        <v>#N/A</v>
      </c>
      <c r="CT30" t="e">
        <f>IF(ISBLANK(INDEX(Database!$AG$8:$BG$346,$BQ30,CT$22)),"",INDEX(Database!$AG$8:$BG$346,$BQ30,CT$22))</f>
        <v>#N/A</v>
      </c>
      <c r="CU30" t="e">
        <f>IF(ISBLANK(INDEX(Database!$AG$8:$BG$346,$BQ30,CU$22)),"",INDEX(Database!$AG$8:$BG$346,$BQ30,CU$22))</f>
        <v>#N/A</v>
      </c>
      <c r="CV30" t="e">
        <f>IF(ISBLANK(INDEX(Database!$AG$8:$BG$346,$BQ30,CV$22)),"",INDEX(Database!$AG$8:$BG$346,$BQ30,CV$22))</f>
        <v>#N/A</v>
      </c>
      <c r="CW30" t="e">
        <f>IF(ISBLANK(INDEX(Database!$AG$8:$BG$346,$BQ30,CW$22)),"",INDEX(Database!$AG$8:$BG$346,$BQ30,CW$22))</f>
        <v>#N/A</v>
      </c>
      <c r="CX30" t="e">
        <f>IF(ISBLANK(INDEX(Database!$AG$8:$BG$346,$BQ30,CX$22)),"",INDEX(Database!$AG$8:$BG$346,$BQ30,CX$22))</f>
        <v>#N/A</v>
      </c>
      <c r="CY30" t="e">
        <f>INDEX(Database!$AG$8:$BG$346,$BQ30,CY$22)</f>
        <v>#N/A</v>
      </c>
      <c r="CZ30" t="e">
        <f>INDEX(Database!$AG$8:$BG$346,$BQ30,CZ$22)</f>
        <v>#N/A</v>
      </c>
      <c r="DA30" t="e">
        <f>INDEX(Database!$AG$8:$BG$346,$BQ30,DA$22)</f>
        <v>#N/A</v>
      </c>
      <c r="DB30" t="e">
        <f>INDEX(Database!$AG$8:$BG$346,$BQ30,DB$22)</f>
        <v>#N/A</v>
      </c>
      <c r="DC30" t="e">
        <f>INDEX(Database!$AG$8:$BG$346,$BQ30,DC$22)</f>
        <v>#N/A</v>
      </c>
      <c r="DD30" t="e">
        <f>INDEX(Database!$AG$8:$BG$346,$BQ30,DD$22)</f>
        <v>#N/A</v>
      </c>
      <c r="DE30" s="31" t="e">
        <f>INDEX(Database!$AG$8:$BG$346,$BQ30,DE$22)</f>
        <v>#N/A</v>
      </c>
      <c r="DF30" s="31" t="e">
        <f>INDEX(Database!$AG$8:$BG$346,$BQ30,DF$22)</f>
        <v>#N/A</v>
      </c>
      <c r="DG30" s="31" t="e">
        <f>INDEX(Database!$AG$8:$BG$346,$BQ30,DG$22)</f>
        <v>#N/A</v>
      </c>
      <c r="DH30" s="31" t="e">
        <f>INDEX(Database!$AG$8:$BG$346,$BQ30,DH$22)</f>
        <v>#N/A</v>
      </c>
      <c r="DI30" s="31" t="e">
        <f>INDEX(Database!$AG$8:$BG$346,$BQ30,DI$22)</f>
        <v>#N/A</v>
      </c>
      <c r="DJ30" s="5" t="e">
        <f>INDEX(Database!$AG$8:$BG$346,$BQ30,DJ$22)</f>
        <v>#N/A</v>
      </c>
      <c r="DK30" s="35" t="e">
        <f>INDEX(Database!$AG$8:$BG$346,$BQ30,DK$22)</f>
        <v>#N/A</v>
      </c>
      <c r="DL30" s="6" t="e">
        <f>INDEX(Database!$AG$8:$BG$346,$BQ30,DL$22)</f>
        <v>#N/A</v>
      </c>
      <c r="DM30" s="35" t="e">
        <f>INDEX(Database!$AG$8:$BG$346,$BQ30,DM$22)</f>
        <v>#N/A</v>
      </c>
      <c r="DN30" s="35" t="e">
        <f>INDEX(Database!$AG$8:$BG$346,$BQ30,DN$22)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IF(More_Plans,IF(Locked,IF(Selected_Plan,$BZ31,$BV31),IFERROR(PROPER(INDEX(Database!$G$8:$G$346,$BQ31)),"")),"")</f>
        <v/>
      </c>
      <c r="C31" s="285"/>
      <c r="D31" s="285"/>
      <c r="E31" s="285"/>
      <c r="F31" s="285"/>
      <c r="G31" s="260" t="str">
        <f>IF(Locked,"",IFERROR(HYPERLINK(INDEX(Database!$Y$8:$Y$346,$BQ31),"EFL"),""))</f>
        <v/>
      </c>
      <c r="H31" s="260" t="str">
        <f>IF(Locked,"",IFERROR(HYPERLINK(INDEX(Database!$U$8:$U$346,$BQ31),"TOS"),""))</f>
        <v/>
      </c>
      <c r="I31" s="284" t="str">
        <f>IFERROR(INDEX(Database!$Q$8:$Q$346,$BQ31),"")</f>
        <v/>
      </c>
      <c r="J31" s="284"/>
      <c r="K31" s="195" t="str">
        <f>IFERROR(IF(All_In,INDEX(Database!$BQ$8:$BQ$346,$BQ31),INDEX(Database!$BR$8:$BR$346,$BQ31)),"")</f>
        <v/>
      </c>
      <c r="L31" s="194" t="str">
        <f>IFERROR(INDEX(Database!$BO$8:$BO$346,$BQ31),"")</f>
        <v/>
      </c>
      <c r="M31" s="243" t="str">
        <f>IFERROR(INDEX(Database!$CX$8:$CX$346,$BQ31),"")</f>
        <v/>
      </c>
      <c r="N31" s="201" t="str">
        <f>IFERROR(INDEX(Database!$BH$8:$BH$346,$BQ31),"")</f>
        <v/>
      </c>
      <c r="O31" s="179"/>
      <c r="P31" s="179" t="str">
        <f>IFERROR(INDEX(Database!$P$8:$P$346,$BQ31),"")</f>
        <v/>
      </c>
      <c r="Q31" s="240" t="str">
        <f>IFERROR(INDEX(Database!$CR$8:$CR$346,$BQ31),"")</f>
        <v/>
      </c>
      <c r="R31" s="180" t="str">
        <f>IFERROR(INDEX(Database!$AC$8:$AC$346,$BQ31),"")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IFERROR(INDEX(Database!$BJ$8:$BJ$346,$BQ31),"")</f>
        <v/>
      </c>
      <c r="X31" s="300"/>
      <c r="Y31" s="272" t="str">
        <f>IFERROR(IF(ISBLANK(INDEX(TOS!$F$6:$AP$214,$BS31,Y$42)),"",INDEX(TOS!$F$6:$AP$214,$BS31,Y$42)),"")</f>
        <v/>
      </c>
      <c r="Z31" s="270" t="str">
        <f>IFERROR(IF(ISBLANK(INDEX(TOS!$F$6:$AP$214,$BS31,Z$42)),"",INDEX(TOS!$F$6:$AP$214,$BS31,Z$42)),"")</f>
        <v/>
      </c>
      <c r="AA31" s="270" t="str">
        <f>IFERROR(IF(ISBLANK(INDEX(TOS!$F$6:$AP$214,$BS31,AA$42)),"",INDEX(TOS!$F$6:$AP$214,$BS31,AA$42)),"")</f>
        <v/>
      </c>
      <c r="AB31" s="270" t="str">
        <f>IFERROR(IF(ISBLANK(INDEX(TOS!$F$6:$AP$214,$BS31,AB$42)),"",INDEX(TOS!$F$6:$AP$214,$BS31,AB$42)),"")</f>
        <v/>
      </c>
      <c r="AC31" s="270" t="str">
        <f>IFERROR(IF(ISBLANK(INDEX(TOS!$F$6:$AP$214,$BS31,AC$42)),"",INDEX(TOS!$F$6:$AP$214,$BS31,AC$42)),"")</f>
        <v/>
      </c>
      <c r="AD31" s="270" t="str">
        <f>IFERROR(IF(ISBLANK(INDEX(TOS!$F$6:$AP$214,$BS31,AD$42)),"",INDEX(TOS!$F$6:$AP$214,$BS31,AD$42)),"")</f>
        <v/>
      </c>
      <c r="AE31" s="270" t="str">
        <f>IFERROR(IF(ISBLANK(INDEX(TOS!$F$6:$AP$214,$BS31,AE$42)),"",INDEX(TOS!$F$6:$AP$214,$BS31,AE$42)),"")</f>
        <v/>
      </c>
      <c r="AF31" s="270" t="str">
        <f>IFERROR(IF(ISBLANK(INDEX(TOS!$F$6:$AP$214,$BS31,AF$42)),"",INDEX(TOS!$F$6:$AP$214,$BS31,AF$42)),"")</f>
        <v/>
      </c>
      <c r="AG31" s="270" t="str">
        <f>IFERROR(IF(ISBLANK(INDEX(TOS!$F$6:$AP$214,$BS31,AG$42)),"",INDEX(TOS!$F$6:$AP$214,$BS31,AG$42)),"")</f>
        <v/>
      </c>
      <c r="AH31" s="270" t="str">
        <f>IFERROR(IF(ISBLANK(INDEX(TOS!$F$6:$AP$214,$BS31,AH$42)),"",INDEX(TOS!$F$6:$AP$214,$BS31,AH$42)),"")</f>
        <v/>
      </c>
      <c r="AI31" s="270" t="str">
        <f>IFERROR(IF(ISBLANK(INDEX(TOS!$F$6:$AP$214,$BS31,AI$42)),"",INDEX(TOS!$F$6:$AP$214,$BS31,AI$42)),"")</f>
        <v/>
      </c>
      <c r="AJ31" s="270" t="str">
        <f>IFERROR(IF(ISBLANK(INDEX(TOS!$F$6:$AP$214,$BS31,AJ$42)),"",INDEX(TOS!$F$6:$AP$214,$BS31,AJ$42)),"")</f>
        <v/>
      </c>
      <c r="AK31" s="270" t="str">
        <f>IFERROR(IF(ISBLANK(INDEX(TOS!$F$6:$AP$214,$BS31,AK$42)),"",INDEX(TOS!$F$6:$AP$214,$BS31,AK$42)),"")</f>
        <v/>
      </c>
      <c r="AL31" s="270" t="str">
        <f>IFERROR(IF(ISBLANK(INDEX(TOS!$F$6:$AP$214,$BS31,AL$42)),"",INDEX(TOS!$F$6:$AP$214,$BS31,AL$42)),"")</f>
        <v/>
      </c>
      <c r="AM31" s="270" t="str">
        <f>IFERROR(IF(ISBLANK(INDEX(TOS!$F$6:$AP$214,$BS31,AM$42)),"",INDEX(TOS!$F$6:$AP$214,$BS31,AM$42)),"")</f>
        <v/>
      </c>
      <c r="AN31" s="270" t="str">
        <f>IFERROR(IF(ISBLANK(INDEX(TOS!$F$6:$AP$214,$BS31,AN$42)),"",INDEX(TOS!$F$6:$AP$214,$BS31,AN$42)),"")</f>
        <v/>
      </c>
      <c r="AO31" s="270" t="str">
        <f>IFERROR(IF(ISBLANK(INDEX(TOS!$F$6:$AP$214,$BS31,AO$42)),"",INDEX(TOS!$F$6:$AP$214,$BS31,AO$42)),"")</f>
        <v/>
      </c>
      <c r="AP31" s="270" t="str">
        <f>IFERROR(IF(ISBLANK(INDEX(TOS!$F$6:$AP$214,$BS31,AP$42)),"",INDEX(TOS!$F$6:$AP$214,$BS31,AP$42)),"")</f>
        <v/>
      </c>
      <c r="AQ31" s="270" t="str">
        <f>IFERROR(IF(ISBLANK(INDEX(TOS!$F$6:$AP$214,$BS31,AQ$42)),"",INDEX(TOS!$F$6:$AP$214,$BS31,AQ$42)),"")</f>
        <v/>
      </c>
      <c r="AR31" s="270" t="str">
        <f>IFERROR(IF(ISBLANK(INDEX(TOS!$F$6:$AP$214,$BS31,AR$42)),"",INDEX(TOS!$F$6:$AP$214,$BS31,AR$42)),"")</f>
        <v/>
      </c>
      <c r="AS31" s="270" t="str">
        <f>IFERROR(IF(ISBLANK(INDEX(TOS!$F$6:$AP$214,$BS31,AS$42)),"",INDEX(TOS!$F$6:$AP$214,$BS31,AS$42)),"")</f>
        <v/>
      </c>
      <c r="AT31" s="270" t="str">
        <f>IFERROR(IF(ISBLANK(INDEX(TOS!$F$6:$AP$214,$BS31,AT$42)),"",INDEX(TOS!$F$6:$AP$214,$BS31,AT$42)),"")</f>
        <v/>
      </c>
      <c r="AU31" s="270" t="str">
        <f>IFERROR(IF(ISBLANK(INDEX(TOS!$F$6:$AP$214,$BS31,AU$42)),"",INDEX(TOS!$F$6:$AP$214,$BS31,AU$42)),"")</f>
        <v/>
      </c>
      <c r="AV31" s="270" t="str">
        <f>IFERROR(IF(ISBLANK(INDEX(TOS!$F$6:$AP$214,$BS31,AV$42)),"",INDEX(TOS!$F$6:$AP$214,$BS31,AV$42)),"")</f>
        <v/>
      </c>
      <c r="AW31" s="270" t="str">
        <f>IFERROR(IF(ISBLANK(INDEX(TOS!$F$6:$AP$214,$BS31,AW$42)),"",INDEX(TOS!$F$6:$AP$214,$BS31,AW$42)),"")</f>
        <v/>
      </c>
      <c r="AX31" s="270" t="str">
        <f>IFERROR(IF(ISBLANK(INDEX(TOS!$F$6:$AP$214,$BS31,AX$42)),"",INDEX(TOS!$F$6:$AP$214,$BS31,AX$42)),"")</f>
        <v/>
      </c>
      <c r="AY31" s="270" t="str">
        <f>IFERROR(IF(ISBLANK(INDEX(TOS!$F$6:$AP$214,$BS31,AY$42)),"",INDEX(TOS!$F$6:$AP$214,$BS31,AY$42)),"")</f>
        <v/>
      </c>
      <c r="AZ31" s="270" t="str">
        <f>IFERROR(IF(ISBLANK(INDEX(TOS!$F$6:$AP$214,$BS31,AZ$42)),"",INDEX(TOS!$F$6:$AP$214,$BS31,AZ$42)),"")</f>
        <v/>
      </c>
      <c r="BA31" s="270" t="str">
        <f>IFERROR(IF(ISBLANK(INDEX(TOS!$F$6:$AP$214,$BS31,BA$42)),"",INDEX(TOS!$F$6:$AP$214,$BS31,BA$42)),"")</f>
        <v/>
      </c>
      <c r="BB31" s="270" t="str">
        <f>IFERROR(IF(ISBLANK(INDEX(TOS!$F$6:$AP$214,$BS31,BB$42)),"",INDEX(TOS!$F$6:$AP$214,$BS31,BB$42)),"")</f>
        <v/>
      </c>
      <c r="BC31" s="270" t="str">
        <f>IFERROR(IF(ISBLANK(INDEX(TOS!$F$6:$AP$214,$BS31,BC$42)),"",INDEX(TOS!$F$6:$AP$214,$BS31,BC$42)),"")</f>
        <v/>
      </c>
      <c r="BD31" s="177"/>
      <c r="BE31" s="86" t="s">
        <v>206</v>
      </c>
      <c r="BF31" s="94" t="e">
        <f>IF(Risk_Input="Yes",NA(),INDEX(Database!BO$8:BO$346,$BF$29))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IF(More_Plans,MATCH($A31,Database!$CG$8:$CG$346,0),NA())</f>
        <v>#N/A</v>
      </c>
      <c r="BR31" s="118">
        <f>Locked*IFERROR((($K31-INDEX(Trends!$AA$5:$AA$8,MATCH($I31,{24,12,6,3},-1)))&lt;BR$25),0)</f>
        <v>0</v>
      </c>
      <c r="BS31" t="e">
        <f>MATCH(SUBSTITUTE(INDEX(Database!$U$8:$U$346,$BQ31),"~","~~"),TOS!$C$6:$C$214,0)</f>
        <v>#N/A</v>
      </c>
      <c r="BT31" t="e">
        <f>MATCH(INDEX(Database!$F$8:$F$346,$BQ31),REP_Info!$D$6:$D$250,0)</f>
        <v>#N/A</v>
      </c>
      <c r="BU31" t="str">
        <f>IFERROR(INDEX(Database!$CV$8:$CV$346,$BQ31),"")</f>
        <v/>
      </c>
      <c r="BV31" t="str">
        <f>IF(AND(Term_Min=Term_Min_Recd,Term_Max=Term_Max_Recd),"   We suggest Plan #"&amp;Default_Plan&amp;".","")</f>
        <v xml:space="preserve">   We suggest Plan #1.</v>
      </c>
      <c r="BZ31" t="s">
        <v>209</v>
      </c>
      <c r="CD31" t="str">
        <f>""</f>
        <v/>
      </c>
      <c r="CN31" t="e">
        <f>INDEX(Database!$AG$8:$BG$346,$BQ31,CN$22)</f>
        <v>#N/A</v>
      </c>
      <c r="CO31" t="e">
        <f>IF(ISBLANK(INDEX(Database!$AG$8:$BG$346,$BQ31,CO$22)),"",INDEX(Database!$AG$8:$BG$346,$BQ31,CO$22))</f>
        <v>#N/A</v>
      </c>
      <c r="CP31" t="e">
        <f>IF(ISBLANK(INDEX(Database!$AG$8:$BG$346,$BQ31,CP$22)),"",INDEX(Database!$AG$8:$BG$346,$BQ31,CP$22))</f>
        <v>#N/A</v>
      </c>
      <c r="CQ31" t="e">
        <f>IF(ISBLANK(INDEX(Database!$AG$8:$BG$346,$BQ31,CQ$22)),"",INDEX(Database!$AG$8:$BG$346,$BQ31,CQ$22))</f>
        <v>#N/A</v>
      </c>
      <c r="CR31" t="e">
        <f>IF(ISBLANK(INDEX(Database!$AG$8:$BG$346,$BQ31,CR$22)),"",INDEX(Database!$AG$8:$BG$346,$BQ31,CR$22))</f>
        <v>#N/A</v>
      </c>
      <c r="CS31" t="e">
        <f>IF(ISBLANK(INDEX(Database!$AG$8:$BG$346,$BQ31,CS$22)),"",INDEX(Database!$AG$8:$BG$346,$BQ31,CS$22))</f>
        <v>#N/A</v>
      </c>
      <c r="CT31" t="e">
        <f>IF(ISBLANK(INDEX(Database!$AG$8:$BG$346,$BQ31,CT$22)),"",INDEX(Database!$AG$8:$BG$346,$BQ31,CT$22))</f>
        <v>#N/A</v>
      </c>
      <c r="CU31" t="e">
        <f>IF(ISBLANK(INDEX(Database!$AG$8:$BG$346,$BQ31,CU$22)),"",INDEX(Database!$AG$8:$BG$346,$BQ31,CU$22))</f>
        <v>#N/A</v>
      </c>
      <c r="CV31" t="e">
        <f>IF(ISBLANK(INDEX(Database!$AG$8:$BG$346,$BQ31,CV$22)),"",INDEX(Database!$AG$8:$BG$346,$BQ31,CV$22))</f>
        <v>#N/A</v>
      </c>
      <c r="CW31" t="e">
        <f>IF(ISBLANK(INDEX(Database!$AG$8:$BG$346,$BQ31,CW$22)),"",INDEX(Database!$AG$8:$BG$346,$BQ31,CW$22))</f>
        <v>#N/A</v>
      </c>
      <c r="CX31" t="e">
        <f>IF(ISBLANK(INDEX(Database!$AG$8:$BG$346,$BQ31,CX$22)),"",INDEX(Database!$AG$8:$BG$346,$BQ31,CX$22))</f>
        <v>#N/A</v>
      </c>
      <c r="CY31" t="e">
        <f>INDEX(Database!$AG$8:$BG$346,$BQ31,CY$22)</f>
        <v>#N/A</v>
      </c>
      <c r="CZ31" t="e">
        <f>INDEX(Database!$AG$8:$BG$346,$BQ31,CZ$22)</f>
        <v>#N/A</v>
      </c>
      <c r="DA31" t="e">
        <f>INDEX(Database!$AG$8:$BG$346,$BQ31,DA$22)</f>
        <v>#N/A</v>
      </c>
      <c r="DB31" t="e">
        <f>INDEX(Database!$AG$8:$BG$346,$BQ31,DB$22)</f>
        <v>#N/A</v>
      </c>
      <c r="DC31" t="e">
        <f>INDEX(Database!$AG$8:$BG$346,$BQ31,DC$22)</f>
        <v>#N/A</v>
      </c>
      <c r="DD31" t="e">
        <f>INDEX(Database!$AG$8:$BG$346,$BQ31,DD$22)</f>
        <v>#N/A</v>
      </c>
      <c r="DE31" s="31" t="e">
        <f>INDEX(Database!$AG$8:$BG$346,$BQ31,DE$22)</f>
        <v>#N/A</v>
      </c>
      <c r="DF31" s="31" t="e">
        <f>INDEX(Database!$AG$8:$BG$346,$BQ31,DF$22)</f>
        <v>#N/A</v>
      </c>
      <c r="DG31" s="31" t="e">
        <f>INDEX(Database!$AG$8:$BG$346,$BQ31,DG$22)</f>
        <v>#N/A</v>
      </c>
      <c r="DH31" s="31" t="e">
        <f>INDEX(Database!$AG$8:$BG$346,$BQ31,DH$22)</f>
        <v>#N/A</v>
      </c>
      <c r="DI31" s="31" t="e">
        <f>INDEX(Database!$AG$8:$BG$346,$BQ31,DI$22)</f>
        <v>#N/A</v>
      </c>
      <c r="DJ31" s="5" t="e">
        <f>INDEX(Database!$AG$8:$BG$346,$BQ31,DJ$22)</f>
        <v>#N/A</v>
      </c>
      <c r="DK31" s="35" t="e">
        <f>INDEX(Database!$AG$8:$BG$346,$BQ31,DK$22)</f>
        <v>#N/A</v>
      </c>
      <c r="DL31" s="6" t="e">
        <f>INDEX(Database!$AG$8:$BG$346,$BQ31,DL$22)</f>
        <v>#N/A</v>
      </c>
      <c r="DM31" s="35" t="e">
        <f>INDEX(Database!$AG$8:$BG$346,$BQ31,DM$22)</f>
        <v>#N/A</v>
      </c>
      <c r="DN31" s="35" t="e">
        <f>INDEX(Database!$AG$8:$BG$346,$BQ31,DN$22)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IF(More_Plans,IF(Locked,IF(Selected_Plan,$BZ32,$BV32),IFERROR(PROPER(INDEX(Database!$G$8:$G$346,$BQ32)),"")),"")</f>
        <v/>
      </c>
      <c r="C32" s="285"/>
      <c r="D32" s="285"/>
      <c r="E32" s="285"/>
      <c r="F32" s="285"/>
      <c r="G32" s="260" t="str">
        <f>IF(Locked,"",IFERROR(HYPERLINK(INDEX(Database!$Y$8:$Y$346,$BQ32),"EFL"),""))</f>
        <v/>
      </c>
      <c r="H32" s="260" t="str">
        <f>IF(Locked,"",IFERROR(HYPERLINK(INDEX(Database!$U$8:$U$346,$BQ32),"TOS"),""))</f>
        <v/>
      </c>
      <c r="I32" s="284" t="str">
        <f>IFERROR(INDEX(Database!$Q$8:$Q$346,$BQ32),"")</f>
        <v/>
      </c>
      <c r="J32" s="284"/>
      <c r="K32" s="195" t="str">
        <f>IFERROR(IF(All_In,INDEX(Database!$BQ$8:$BQ$346,$BQ32),INDEX(Database!$BR$8:$BR$346,$BQ32)),"")</f>
        <v/>
      </c>
      <c r="L32" s="194" t="str">
        <f>IFERROR(INDEX(Database!$BO$8:$BO$346,$BQ32),"")</f>
        <v/>
      </c>
      <c r="M32" s="243" t="str">
        <f>IFERROR(INDEX(Database!$CX$8:$CX$346,$BQ32),"")</f>
        <v/>
      </c>
      <c r="N32" s="201" t="str">
        <f>IFERROR(INDEX(Database!$BH$8:$BH$346,$BQ32),"")</f>
        <v/>
      </c>
      <c r="O32" s="179"/>
      <c r="P32" s="179" t="str">
        <f>IFERROR(INDEX(Database!$P$8:$P$346,$BQ32),"")</f>
        <v/>
      </c>
      <c r="Q32" s="240" t="str">
        <f>IFERROR(INDEX(Database!$CR$8:$CR$346,$BQ32),"")</f>
        <v/>
      </c>
      <c r="R32" s="180" t="str">
        <f>IFERROR(INDEX(Database!$AC$8:$AC$346,$BQ32),"")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IFERROR(INDEX(Database!$BJ$8:$BJ$346,$BQ32),"")</f>
        <v/>
      </c>
      <c r="X32" s="300"/>
      <c r="Y32" s="272" t="str">
        <f>IFERROR(IF(ISBLANK(INDEX(TOS!$F$6:$AP$214,$BS32,Y$42)),"",INDEX(TOS!$F$6:$AP$214,$BS32,Y$42)),"")</f>
        <v/>
      </c>
      <c r="Z32" s="270" t="str">
        <f>IFERROR(IF(ISBLANK(INDEX(TOS!$F$6:$AP$214,$BS32,Z$42)),"",INDEX(TOS!$F$6:$AP$214,$BS32,Z$42)),"")</f>
        <v/>
      </c>
      <c r="AA32" s="270" t="str">
        <f>IFERROR(IF(ISBLANK(INDEX(TOS!$F$6:$AP$214,$BS32,AA$42)),"",INDEX(TOS!$F$6:$AP$214,$BS32,AA$42)),"")</f>
        <v/>
      </c>
      <c r="AB32" s="270" t="str">
        <f>IFERROR(IF(ISBLANK(INDEX(TOS!$F$6:$AP$214,$BS32,AB$42)),"",INDEX(TOS!$F$6:$AP$214,$BS32,AB$42)),"")</f>
        <v/>
      </c>
      <c r="AC32" s="270" t="str">
        <f>IFERROR(IF(ISBLANK(INDEX(TOS!$F$6:$AP$214,$BS32,AC$42)),"",INDEX(TOS!$F$6:$AP$214,$BS32,AC$42)),"")</f>
        <v/>
      </c>
      <c r="AD32" s="270" t="str">
        <f>IFERROR(IF(ISBLANK(INDEX(TOS!$F$6:$AP$214,$BS32,AD$42)),"",INDEX(TOS!$F$6:$AP$214,$BS32,AD$42)),"")</f>
        <v/>
      </c>
      <c r="AE32" s="270" t="str">
        <f>IFERROR(IF(ISBLANK(INDEX(TOS!$F$6:$AP$214,$BS32,AE$42)),"",INDEX(TOS!$F$6:$AP$214,$BS32,AE$42)),"")</f>
        <v/>
      </c>
      <c r="AF32" s="270" t="str">
        <f>IFERROR(IF(ISBLANK(INDEX(TOS!$F$6:$AP$214,$BS32,AF$42)),"",INDEX(TOS!$F$6:$AP$214,$BS32,AF$42)),"")</f>
        <v/>
      </c>
      <c r="AG32" s="270" t="str">
        <f>IFERROR(IF(ISBLANK(INDEX(TOS!$F$6:$AP$214,$BS32,AG$42)),"",INDEX(TOS!$F$6:$AP$214,$BS32,AG$42)),"")</f>
        <v/>
      </c>
      <c r="AH32" s="270" t="str">
        <f>IFERROR(IF(ISBLANK(INDEX(TOS!$F$6:$AP$214,$BS32,AH$42)),"",INDEX(TOS!$F$6:$AP$214,$BS32,AH$42)),"")</f>
        <v/>
      </c>
      <c r="AI32" s="270" t="str">
        <f>IFERROR(IF(ISBLANK(INDEX(TOS!$F$6:$AP$214,$BS32,AI$42)),"",INDEX(TOS!$F$6:$AP$214,$BS32,AI$42)),"")</f>
        <v/>
      </c>
      <c r="AJ32" s="270" t="str">
        <f>IFERROR(IF(ISBLANK(INDEX(TOS!$F$6:$AP$214,$BS32,AJ$42)),"",INDEX(TOS!$F$6:$AP$214,$BS32,AJ$42)),"")</f>
        <v/>
      </c>
      <c r="AK32" s="270" t="str">
        <f>IFERROR(IF(ISBLANK(INDEX(TOS!$F$6:$AP$214,$BS32,AK$42)),"",INDEX(TOS!$F$6:$AP$214,$BS32,AK$42)),"")</f>
        <v/>
      </c>
      <c r="AL32" s="270" t="str">
        <f>IFERROR(IF(ISBLANK(INDEX(TOS!$F$6:$AP$214,$BS32,AL$42)),"",INDEX(TOS!$F$6:$AP$214,$BS32,AL$42)),"")</f>
        <v/>
      </c>
      <c r="AM32" s="270" t="str">
        <f>IFERROR(IF(ISBLANK(INDEX(TOS!$F$6:$AP$214,$BS32,AM$42)),"",INDEX(TOS!$F$6:$AP$214,$BS32,AM$42)),"")</f>
        <v/>
      </c>
      <c r="AN32" s="270" t="str">
        <f>IFERROR(IF(ISBLANK(INDEX(TOS!$F$6:$AP$214,$BS32,AN$42)),"",INDEX(TOS!$F$6:$AP$214,$BS32,AN$42)),"")</f>
        <v/>
      </c>
      <c r="AO32" s="270" t="str">
        <f>IFERROR(IF(ISBLANK(INDEX(TOS!$F$6:$AP$214,$BS32,AO$42)),"",INDEX(TOS!$F$6:$AP$214,$BS32,AO$42)),"")</f>
        <v/>
      </c>
      <c r="AP32" s="270" t="str">
        <f>IFERROR(IF(ISBLANK(INDEX(TOS!$F$6:$AP$214,$BS32,AP$42)),"",INDEX(TOS!$F$6:$AP$214,$BS32,AP$42)),"")</f>
        <v/>
      </c>
      <c r="AQ32" s="270" t="str">
        <f>IFERROR(IF(ISBLANK(INDEX(TOS!$F$6:$AP$214,$BS32,AQ$42)),"",INDEX(TOS!$F$6:$AP$214,$BS32,AQ$42)),"")</f>
        <v/>
      </c>
      <c r="AR32" s="270" t="str">
        <f>IFERROR(IF(ISBLANK(INDEX(TOS!$F$6:$AP$214,$BS32,AR$42)),"",INDEX(TOS!$F$6:$AP$214,$BS32,AR$42)),"")</f>
        <v/>
      </c>
      <c r="AS32" s="270" t="str">
        <f>IFERROR(IF(ISBLANK(INDEX(TOS!$F$6:$AP$214,$BS32,AS$42)),"",INDEX(TOS!$F$6:$AP$214,$BS32,AS$42)),"")</f>
        <v/>
      </c>
      <c r="AT32" s="270" t="str">
        <f>IFERROR(IF(ISBLANK(INDEX(TOS!$F$6:$AP$214,$BS32,AT$42)),"",INDEX(TOS!$F$6:$AP$214,$BS32,AT$42)),"")</f>
        <v/>
      </c>
      <c r="AU32" s="270" t="str">
        <f>IFERROR(IF(ISBLANK(INDEX(TOS!$F$6:$AP$214,$BS32,AU$42)),"",INDEX(TOS!$F$6:$AP$214,$BS32,AU$42)),"")</f>
        <v/>
      </c>
      <c r="AV32" s="270" t="str">
        <f>IFERROR(IF(ISBLANK(INDEX(TOS!$F$6:$AP$214,$BS32,AV$42)),"",INDEX(TOS!$F$6:$AP$214,$BS32,AV$42)),"")</f>
        <v/>
      </c>
      <c r="AW32" s="270" t="str">
        <f>IFERROR(IF(ISBLANK(INDEX(TOS!$F$6:$AP$214,$BS32,AW$42)),"",INDEX(TOS!$F$6:$AP$214,$BS32,AW$42)),"")</f>
        <v/>
      </c>
      <c r="AX32" s="270" t="str">
        <f>IFERROR(IF(ISBLANK(INDEX(TOS!$F$6:$AP$214,$BS32,AX$42)),"",INDEX(TOS!$F$6:$AP$214,$BS32,AX$42)),"")</f>
        <v/>
      </c>
      <c r="AY32" s="270" t="str">
        <f>IFERROR(IF(ISBLANK(INDEX(TOS!$F$6:$AP$214,$BS32,AY$42)),"",INDEX(TOS!$F$6:$AP$214,$BS32,AY$42)),"")</f>
        <v/>
      </c>
      <c r="AZ32" s="270" t="str">
        <f>IFERROR(IF(ISBLANK(INDEX(TOS!$F$6:$AP$214,$BS32,AZ$42)),"",INDEX(TOS!$F$6:$AP$214,$BS32,AZ$42)),"")</f>
        <v/>
      </c>
      <c r="BA32" s="270" t="str">
        <f>IFERROR(IF(ISBLANK(INDEX(TOS!$F$6:$AP$214,$BS32,BA$42)),"",INDEX(TOS!$F$6:$AP$214,$BS32,BA$42)),"")</f>
        <v/>
      </c>
      <c r="BB32" s="270" t="str">
        <f>IFERROR(IF(ISBLANK(INDEX(TOS!$F$6:$AP$214,$BS32,BB$42)),"",INDEX(TOS!$F$6:$AP$214,$BS32,BB$42)),"")</f>
        <v/>
      </c>
      <c r="BC32" s="270" t="str">
        <f>IFERROR(IF(ISBLANK(INDEX(TOS!$F$6:$AP$214,$BS32,BC$42)),"",INDEX(TOS!$F$6:$AP$214,$BS32,BC$42)),"")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IF(More_Plans,MATCH($A32,Database!$CG$8:$CG$346,0),NA())</f>
        <v>#N/A</v>
      </c>
      <c r="BR32" s="118">
        <f>Locked*IFERROR((($K32-INDEX(Trends!$AA$5:$AA$8,MATCH($I32,{24,12,6,3},-1)))&lt;BR$25),0)</f>
        <v>0</v>
      </c>
      <c r="BS32" t="e">
        <f>MATCH(SUBSTITUTE(INDEX(Database!$U$8:$U$346,$BQ32),"~","~~"),TOS!$C$6:$C$214,0)</f>
        <v>#N/A</v>
      </c>
      <c r="BT32" t="e">
        <f>MATCH(INDEX(Database!$F$8:$F$346,$BQ32),REP_Info!$D$6:$D$250,0)</f>
        <v>#N/A</v>
      </c>
      <c r="BU32" t="str">
        <f>IFERROR(INDEX(Database!$CV$8:$CV$346,$BQ32),"")</f>
        <v/>
      </c>
      <c r="BV32" t="str">
        <f>""</f>
        <v/>
      </c>
      <c r="BZ32" t="str">
        <f>""</f>
        <v/>
      </c>
      <c r="CD32" t="str">
        <f>""</f>
        <v/>
      </c>
      <c r="CN32" t="e">
        <f>INDEX(Database!$AG$8:$BG$346,$BQ32,CN$22)</f>
        <v>#N/A</v>
      </c>
      <c r="CO32" t="e">
        <f>IF(ISBLANK(INDEX(Database!$AG$8:$BG$346,$BQ32,CO$22)),"",INDEX(Database!$AG$8:$BG$346,$BQ32,CO$22))</f>
        <v>#N/A</v>
      </c>
      <c r="CP32" t="e">
        <f>IF(ISBLANK(INDEX(Database!$AG$8:$BG$346,$BQ32,CP$22)),"",INDEX(Database!$AG$8:$BG$346,$BQ32,CP$22))</f>
        <v>#N/A</v>
      </c>
      <c r="CQ32" t="e">
        <f>IF(ISBLANK(INDEX(Database!$AG$8:$BG$346,$BQ32,CQ$22)),"",INDEX(Database!$AG$8:$BG$346,$BQ32,CQ$22))</f>
        <v>#N/A</v>
      </c>
      <c r="CR32" t="e">
        <f>IF(ISBLANK(INDEX(Database!$AG$8:$BG$346,$BQ32,CR$22)),"",INDEX(Database!$AG$8:$BG$346,$BQ32,CR$22))</f>
        <v>#N/A</v>
      </c>
      <c r="CS32" t="e">
        <f>IF(ISBLANK(INDEX(Database!$AG$8:$BG$346,$BQ32,CS$22)),"",INDEX(Database!$AG$8:$BG$346,$BQ32,CS$22))</f>
        <v>#N/A</v>
      </c>
      <c r="CT32" t="e">
        <f>IF(ISBLANK(INDEX(Database!$AG$8:$BG$346,$BQ32,CT$22)),"",INDEX(Database!$AG$8:$BG$346,$BQ32,CT$22))</f>
        <v>#N/A</v>
      </c>
      <c r="CU32" t="e">
        <f>IF(ISBLANK(INDEX(Database!$AG$8:$BG$346,$BQ32,CU$22)),"",INDEX(Database!$AG$8:$BG$346,$BQ32,CU$22))</f>
        <v>#N/A</v>
      </c>
      <c r="CV32" t="e">
        <f>IF(ISBLANK(INDEX(Database!$AG$8:$BG$346,$BQ32,CV$22)),"",INDEX(Database!$AG$8:$BG$346,$BQ32,CV$22))</f>
        <v>#N/A</v>
      </c>
      <c r="CW32" t="e">
        <f>IF(ISBLANK(INDEX(Database!$AG$8:$BG$346,$BQ32,CW$22)),"",INDEX(Database!$AG$8:$BG$346,$BQ32,CW$22))</f>
        <v>#N/A</v>
      </c>
      <c r="CX32" t="e">
        <f>IF(ISBLANK(INDEX(Database!$AG$8:$BG$346,$BQ32,CX$22)),"",INDEX(Database!$AG$8:$BG$346,$BQ32,CX$22))</f>
        <v>#N/A</v>
      </c>
      <c r="CY32" t="e">
        <f>INDEX(Database!$AG$8:$BG$346,$BQ32,CY$22)</f>
        <v>#N/A</v>
      </c>
      <c r="CZ32" t="e">
        <f>INDEX(Database!$AG$8:$BG$346,$BQ32,CZ$22)</f>
        <v>#N/A</v>
      </c>
      <c r="DA32" t="e">
        <f>INDEX(Database!$AG$8:$BG$346,$BQ32,DA$22)</f>
        <v>#N/A</v>
      </c>
      <c r="DB32" t="e">
        <f>INDEX(Database!$AG$8:$BG$346,$BQ32,DB$22)</f>
        <v>#N/A</v>
      </c>
      <c r="DC32" t="e">
        <f>INDEX(Database!$AG$8:$BG$346,$BQ32,DC$22)</f>
        <v>#N/A</v>
      </c>
      <c r="DD32" t="e">
        <f>INDEX(Database!$AG$8:$BG$346,$BQ32,DD$22)</f>
        <v>#N/A</v>
      </c>
      <c r="DE32" s="31" t="e">
        <f>INDEX(Database!$AG$8:$BG$346,$BQ32,DE$22)</f>
        <v>#N/A</v>
      </c>
      <c r="DF32" s="31" t="e">
        <f>INDEX(Database!$AG$8:$BG$346,$BQ32,DF$22)</f>
        <v>#N/A</v>
      </c>
      <c r="DG32" s="31" t="e">
        <f>INDEX(Database!$AG$8:$BG$346,$BQ32,DG$22)</f>
        <v>#N/A</v>
      </c>
      <c r="DH32" s="31" t="e">
        <f>INDEX(Database!$AG$8:$BG$346,$BQ32,DH$22)</f>
        <v>#N/A</v>
      </c>
      <c r="DI32" s="31" t="e">
        <f>INDEX(Database!$AG$8:$BG$346,$BQ32,DI$22)</f>
        <v>#N/A</v>
      </c>
      <c r="DJ32" s="5" t="e">
        <f>INDEX(Database!$AG$8:$BG$346,$BQ32,DJ$22)</f>
        <v>#N/A</v>
      </c>
      <c r="DK32" s="35" t="e">
        <f>INDEX(Database!$AG$8:$BG$346,$BQ32,DK$22)</f>
        <v>#N/A</v>
      </c>
      <c r="DL32" s="6" t="e">
        <f>INDEX(Database!$AG$8:$BG$346,$BQ32,DL$22)</f>
        <v>#N/A</v>
      </c>
      <c r="DM32" s="35" t="e">
        <f>INDEX(Database!$AG$8:$BG$346,$BQ32,DM$22)</f>
        <v>#N/A</v>
      </c>
      <c r="DN32" s="35" t="e">
        <f>INDEX(Database!$AG$8:$BG$346,$BQ32,DN$22)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IF(More_Plans,IF(Locked,IF(Selected_Plan,$BZ33,$BV33),IFERROR(PROPER(INDEX(Database!$G$8:$G$346,$BQ33)),"")),"")</f>
        <v/>
      </c>
      <c r="C33" s="285"/>
      <c r="D33" s="285"/>
      <c r="E33" s="285"/>
      <c r="F33" s="285"/>
      <c r="G33" s="260" t="str">
        <f>IF(Locked,"",IFERROR(HYPERLINK(INDEX(Database!$Y$8:$Y$346,$BQ33),"EFL"),""))</f>
        <v/>
      </c>
      <c r="H33" s="260" t="str">
        <f>IF(Locked,"",IFERROR(HYPERLINK(INDEX(Database!$U$8:$U$346,$BQ33),"TOS"),""))</f>
        <v/>
      </c>
      <c r="I33" s="284" t="str">
        <f>IFERROR(INDEX(Database!$Q$8:$Q$346,$BQ33),"")</f>
        <v/>
      </c>
      <c r="J33" s="284"/>
      <c r="K33" s="195" t="str">
        <f>IFERROR(IF(All_In,INDEX(Database!$BQ$8:$BQ$346,$BQ33),INDEX(Database!$BR$8:$BR$346,$BQ33)),"")</f>
        <v/>
      </c>
      <c r="L33" s="194" t="str">
        <f>IFERROR(INDEX(Database!$BO$8:$BO$346,$BQ33),"")</f>
        <v/>
      </c>
      <c r="M33" s="243" t="str">
        <f>IFERROR(INDEX(Database!$CX$8:$CX$346,$BQ33),"")</f>
        <v/>
      </c>
      <c r="N33" s="201" t="str">
        <f>IFERROR(INDEX(Database!$BH$8:$BH$346,$BQ33),"")</f>
        <v/>
      </c>
      <c r="O33" s="179"/>
      <c r="P33" s="179" t="str">
        <f>IFERROR(INDEX(Database!$P$8:$P$346,$BQ33),"")</f>
        <v/>
      </c>
      <c r="Q33" s="240" t="str">
        <f>IFERROR(INDEX(Database!$CR$8:$CR$346,$BQ33),"")</f>
        <v/>
      </c>
      <c r="R33" s="180" t="str">
        <f>IFERROR(INDEX(Database!$AC$8:$AC$346,$BQ33),"")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IFERROR(INDEX(Database!$BJ$8:$BJ$346,$BQ33),"")</f>
        <v/>
      </c>
      <c r="X33" s="300"/>
      <c r="Y33" s="272" t="str">
        <f>IFERROR(IF(ISBLANK(INDEX(TOS!$F$6:$AP$214,$BS33,Y$42)),"",INDEX(TOS!$F$6:$AP$214,$BS33,Y$42)),"")</f>
        <v/>
      </c>
      <c r="Z33" s="270" t="str">
        <f>IFERROR(IF(ISBLANK(INDEX(TOS!$F$6:$AP$214,$BS33,Z$42)),"",INDEX(TOS!$F$6:$AP$214,$BS33,Z$42)),"")</f>
        <v/>
      </c>
      <c r="AA33" s="270" t="str">
        <f>IFERROR(IF(ISBLANK(INDEX(TOS!$F$6:$AP$214,$BS33,AA$42)),"",INDEX(TOS!$F$6:$AP$214,$BS33,AA$42)),"")</f>
        <v/>
      </c>
      <c r="AB33" s="270" t="str">
        <f>IFERROR(IF(ISBLANK(INDEX(TOS!$F$6:$AP$214,$BS33,AB$42)),"",INDEX(TOS!$F$6:$AP$214,$BS33,AB$42)),"")</f>
        <v/>
      </c>
      <c r="AC33" s="270" t="str">
        <f>IFERROR(IF(ISBLANK(INDEX(TOS!$F$6:$AP$214,$BS33,AC$42)),"",INDEX(TOS!$F$6:$AP$214,$BS33,AC$42)),"")</f>
        <v/>
      </c>
      <c r="AD33" s="270" t="str">
        <f>IFERROR(IF(ISBLANK(INDEX(TOS!$F$6:$AP$214,$BS33,AD$42)),"",INDEX(TOS!$F$6:$AP$214,$BS33,AD$42)),"")</f>
        <v/>
      </c>
      <c r="AE33" s="270" t="str">
        <f>IFERROR(IF(ISBLANK(INDEX(TOS!$F$6:$AP$214,$BS33,AE$42)),"",INDEX(TOS!$F$6:$AP$214,$BS33,AE$42)),"")</f>
        <v/>
      </c>
      <c r="AF33" s="270" t="str">
        <f>IFERROR(IF(ISBLANK(INDEX(TOS!$F$6:$AP$214,$BS33,AF$42)),"",INDEX(TOS!$F$6:$AP$214,$BS33,AF$42)),"")</f>
        <v/>
      </c>
      <c r="AG33" s="270" t="str">
        <f>IFERROR(IF(ISBLANK(INDEX(TOS!$F$6:$AP$214,$BS33,AG$42)),"",INDEX(TOS!$F$6:$AP$214,$BS33,AG$42)),"")</f>
        <v/>
      </c>
      <c r="AH33" s="270" t="str">
        <f>IFERROR(IF(ISBLANK(INDEX(TOS!$F$6:$AP$214,$BS33,AH$42)),"",INDEX(TOS!$F$6:$AP$214,$BS33,AH$42)),"")</f>
        <v/>
      </c>
      <c r="AI33" s="270" t="str">
        <f>IFERROR(IF(ISBLANK(INDEX(TOS!$F$6:$AP$214,$BS33,AI$42)),"",INDEX(TOS!$F$6:$AP$214,$BS33,AI$42)),"")</f>
        <v/>
      </c>
      <c r="AJ33" s="270" t="str">
        <f>IFERROR(IF(ISBLANK(INDEX(TOS!$F$6:$AP$214,$BS33,AJ$42)),"",INDEX(TOS!$F$6:$AP$214,$BS33,AJ$42)),"")</f>
        <v/>
      </c>
      <c r="AK33" s="270" t="str">
        <f>IFERROR(IF(ISBLANK(INDEX(TOS!$F$6:$AP$214,$BS33,AK$42)),"",INDEX(TOS!$F$6:$AP$214,$BS33,AK$42)),"")</f>
        <v/>
      </c>
      <c r="AL33" s="270" t="str">
        <f>IFERROR(IF(ISBLANK(INDEX(TOS!$F$6:$AP$214,$BS33,AL$42)),"",INDEX(TOS!$F$6:$AP$214,$BS33,AL$42)),"")</f>
        <v/>
      </c>
      <c r="AM33" s="270" t="str">
        <f>IFERROR(IF(ISBLANK(INDEX(TOS!$F$6:$AP$214,$BS33,AM$42)),"",INDEX(TOS!$F$6:$AP$214,$BS33,AM$42)),"")</f>
        <v/>
      </c>
      <c r="AN33" s="270" t="str">
        <f>IFERROR(IF(ISBLANK(INDEX(TOS!$F$6:$AP$214,$BS33,AN$42)),"",INDEX(TOS!$F$6:$AP$214,$BS33,AN$42)),"")</f>
        <v/>
      </c>
      <c r="AO33" s="270" t="str">
        <f>IFERROR(IF(ISBLANK(INDEX(TOS!$F$6:$AP$214,$BS33,AO$42)),"",INDEX(TOS!$F$6:$AP$214,$BS33,AO$42)),"")</f>
        <v/>
      </c>
      <c r="AP33" s="270" t="str">
        <f>IFERROR(IF(ISBLANK(INDEX(TOS!$F$6:$AP$214,$BS33,AP$42)),"",INDEX(TOS!$F$6:$AP$214,$BS33,AP$42)),"")</f>
        <v/>
      </c>
      <c r="AQ33" s="270" t="str">
        <f>IFERROR(IF(ISBLANK(INDEX(TOS!$F$6:$AP$214,$BS33,AQ$42)),"",INDEX(TOS!$F$6:$AP$214,$BS33,AQ$42)),"")</f>
        <v/>
      </c>
      <c r="AR33" s="270" t="str">
        <f>IFERROR(IF(ISBLANK(INDEX(TOS!$F$6:$AP$214,$BS33,AR$42)),"",INDEX(TOS!$F$6:$AP$214,$BS33,AR$42)),"")</f>
        <v/>
      </c>
      <c r="AS33" s="270" t="str">
        <f>IFERROR(IF(ISBLANK(INDEX(TOS!$F$6:$AP$214,$BS33,AS$42)),"",INDEX(TOS!$F$6:$AP$214,$BS33,AS$42)),"")</f>
        <v/>
      </c>
      <c r="AT33" s="270" t="str">
        <f>IFERROR(IF(ISBLANK(INDEX(TOS!$F$6:$AP$214,$BS33,AT$42)),"",INDEX(TOS!$F$6:$AP$214,$BS33,AT$42)),"")</f>
        <v/>
      </c>
      <c r="AU33" s="270" t="str">
        <f>IFERROR(IF(ISBLANK(INDEX(TOS!$F$6:$AP$214,$BS33,AU$42)),"",INDEX(TOS!$F$6:$AP$214,$BS33,AU$42)),"")</f>
        <v/>
      </c>
      <c r="AV33" s="270" t="str">
        <f>IFERROR(IF(ISBLANK(INDEX(TOS!$F$6:$AP$214,$BS33,AV$42)),"",INDEX(TOS!$F$6:$AP$214,$BS33,AV$42)),"")</f>
        <v/>
      </c>
      <c r="AW33" s="270" t="str">
        <f>IFERROR(IF(ISBLANK(INDEX(TOS!$F$6:$AP$214,$BS33,AW$42)),"",INDEX(TOS!$F$6:$AP$214,$BS33,AW$42)),"")</f>
        <v/>
      </c>
      <c r="AX33" s="270" t="str">
        <f>IFERROR(IF(ISBLANK(INDEX(TOS!$F$6:$AP$214,$BS33,AX$42)),"",INDEX(TOS!$F$6:$AP$214,$BS33,AX$42)),"")</f>
        <v/>
      </c>
      <c r="AY33" s="270" t="str">
        <f>IFERROR(IF(ISBLANK(INDEX(TOS!$F$6:$AP$214,$BS33,AY$42)),"",INDEX(TOS!$F$6:$AP$214,$BS33,AY$42)),"")</f>
        <v/>
      </c>
      <c r="AZ33" s="270" t="str">
        <f>IFERROR(IF(ISBLANK(INDEX(TOS!$F$6:$AP$214,$BS33,AZ$42)),"",INDEX(TOS!$F$6:$AP$214,$BS33,AZ$42)),"")</f>
        <v/>
      </c>
      <c r="BA33" s="270" t="str">
        <f>IFERROR(IF(ISBLANK(INDEX(TOS!$F$6:$AP$214,$BS33,BA$42)),"",INDEX(TOS!$F$6:$AP$214,$BS33,BA$42)),"")</f>
        <v/>
      </c>
      <c r="BB33" s="270" t="str">
        <f>IFERROR(IF(ISBLANK(INDEX(TOS!$F$6:$AP$214,$BS33,BB$42)),"",INDEX(TOS!$F$6:$AP$214,$BS33,BB$42)),"")</f>
        <v/>
      </c>
      <c r="BC33" s="270" t="str">
        <f>IFERROR(IF(ISBLANK(INDEX(TOS!$F$6:$AP$214,$BS33,BC$42)),"",INDEX(TOS!$F$6:$AP$214,$BS33,BC$42)),"")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IF(More_Plans,MATCH($A33,Database!$CG$8:$CG$346,0),NA())</f>
        <v>#N/A</v>
      </c>
      <c r="BR33" s="118">
        <f>Locked*IFERROR((($K33-INDEX(Trends!$AA$5:$AA$8,MATCH($I33,{24,12,6,3},-1)))&lt;BR$25),0)</f>
        <v>0</v>
      </c>
      <c r="BS33" t="e">
        <f>MATCH(SUBSTITUTE(INDEX(Database!$U$8:$U$346,$BQ33),"~","~~"),TOS!$C$6:$C$214,0)</f>
        <v>#N/A</v>
      </c>
      <c r="BT33" t="e">
        <f>MATCH(INDEX(Database!$F$8:$F$346,$BQ33),REP_Info!$D$6:$D$250,0)</f>
        <v>#N/A</v>
      </c>
      <c r="BU33" t="str">
        <f>IFERROR(INDEX(Database!$CV$8:$CV$346,$BQ33),"")</f>
        <v/>
      </c>
      <c r="BV33" t="s">
        <v>214</v>
      </c>
      <c r="BZ33" t="str">
        <f>""</f>
        <v/>
      </c>
      <c r="CD33" t="str">
        <f>""</f>
        <v/>
      </c>
      <c r="CN33" t="e">
        <f>INDEX(Database!$AG$8:$BG$346,$BQ33,CN$22)</f>
        <v>#N/A</v>
      </c>
      <c r="CO33" t="e">
        <f>IF(ISBLANK(INDEX(Database!$AG$8:$BG$346,$BQ33,CO$22)),"",INDEX(Database!$AG$8:$BG$346,$BQ33,CO$22))</f>
        <v>#N/A</v>
      </c>
      <c r="CP33" t="e">
        <f>IF(ISBLANK(INDEX(Database!$AG$8:$BG$346,$BQ33,CP$22)),"",INDEX(Database!$AG$8:$BG$346,$BQ33,CP$22))</f>
        <v>#N/A</v>
      </c>
      <c r="CQ33" t="e">
        <f>IF(ISBLANK(INDEX(Database!$AG$8:$BG$346,$BQ33,CQ$22)),"",INDEX(Database!$AG$8:$BG$346,$BQ33,CQ$22))</f>
        <v>#N/A</v>
      </c>
      <c r="CR33" t="e">
        <f>IF(ISBLANK(INDEX(Database!$AG$8:$BG$346,$BQ33,CR$22)),"",INDEX(Database!$AG$8:$BG$346,$BQ33,CR$22))</f>
        <v>#N/A</v>
      </c>
      <c r="CS33" t="e">
        <f>IF(ISBLANK(INDEX(Database!$AG$8:$BG$346,$BQ33,CS$22)),"",INDEX(Database!$AG$8:$BG$346,$BQ33,CS$22))</f>
        <v>#N/A</v>
      </c>
      <c r="CT33" t="e">
        <f>IF(ISBLANK(INDEX(Database!$AG$8:$BG$346,$BQ33,CT$22)),"",INDEX(Database!$AG$8:$BG$346,$BQ33,CT$22))</f>
        <v>#N/A</v>
      </c>
      <c r="CU33" t="e">
        <f>IF(ISBLANK(INDEX(Database!$AG$8:$BG$346,$BQ33,CU$22)),"",INDEX(Database!$AG$8:$BG$346,$BQ33,CU$22))</f>
        <v>#N/A</v>
      </c>
      <c r="CV33" t="e">
        <f>IF(ISBLANK(INDEX(Database!$AG$8:$BG$346,$BQ33,CV$22)),"",INDEX(Database!$AG$8:$BG$346,$BQ33,CV$22))</f>
        <v>#N/A</v>
      </c>
      <c r="CW33" t="e">
        <f>IF(ISBLANK(INDEX(Database!$AG$8:$BG$346,$BQ33,CW$22)),"",INDEX(Database!$AG$8:$BG$346,$BQ33,CW$22))</f>
        <v>#N/A</v>
      </c>
      <c r="CX33" t="e">
        <f>IF(ISBLANK(INDEX(Database!$AG$8:$BG$346,$BQ33,CX$22)),"",INDEX(Database!$AG$8:$BG$346,$BQ33,CX$22))</f>
        <v>#N/A</v>
      </c>
      <c r="CY33" t="e">
        <f>INDEX(Database!$AG$8:$BG$346,$BQ33,CY$22)</f>
        <v>#N/A</v>
      </c>
      <c r="CZ33" t="e">
        <f>INDEX(Database!$AG$8:$BG$346,$BQ33,CZ$22)</f>
        <v>#N/A</v>
      </c>
      <c r="DA33" t="e">
        <f>INDEX(Database!$AG$8:$BG$346,$BQ33,DA$22)</f>
        <v>#N/A</v>
      </c>
      <c r="DB33" t="e">
        <f>INDEX(Database!$AG$8:$BG$346,$BQ33,DB$22)</f>
        <v>#N/A</v>
      </c>
      <c r="DC33" t="e">
        <f>INDEX(Database!$AG$8:$BG$346,$BQ33,DC$22)</f>
        <v>#N/A</v>
      </c>
      <c r="DD33" t="e">
        <f>INDEX(Database!$AG$8:$BG$346,$BQ33,DD$22)</f>
        <v>#N/A</v>
      </c>
      <c r="DE33" s="31" t="e">
        <f>INDEX(Database!$AG$8:$BG$346,$BQ33,DE$22)</f>
        <v>#N/A</v>
      </c>
      <c r="DF33" s="31" t="e">
        <f>INDEX(Database!$AG$8:$BG$346,$BQ33,DF$22)</f>
        <v>#N/A</v>
      </c>
      <c r="DG33" s="31" t="e">
        <f>INDEX(Database!$AG$8:$BG$346,$BQ33,DG$22)</f>
        <v>#N/A</v>
      </c>
      <c r="DH33" s="31" t="e">
        <f>INDEX(Database!$AG$8:$BG$346,$BQ33,DH$22)</f>
        <v>#N/A</v>
      </c>
      <c r="DI33" s="31" t="e">
        <f>INDEX(Database!$AG$8:$BG$346,$BQ33,DI$22)</f>
        <v>#N/A</v>
      </c>
      <c r="DJ33" s="5" t="e">
        <f>INDEX(Database!$AG$8:$BG$346,$BQ33,DJ$22)</f>
        <v>#N/A</v>
      </c>
      <c r="DK33" s="35" t="e">
        <f>INDEX(Database!$AG$8:$BG$346,$BQ33,DK$22)</f>
        <v>#N/A</v>
      </c>
      <c r="DL33" s="6" t="e">
        <f>INDEX(Database!$AG$8:$BG$346,$BQ33,DL$22)</f>
        <v>#N/A</v>
      </c>
      <c r="DM33" s="35" t="e">
        <f>INDEX(Database!$AG$8:$BG$346,$BQ33,DM$22)</f>
        <v>#N/A</v>
      </c>
      <c r="DN33" s="35" t="e">
        <f>INDEX(Database!$AG$8:$BG$346,$BQ33,DN$22)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IF(More_Plans,IF(Locked,IF(Selected_Plan,$BZ34,$BV34),IFERROR(PROPER(INDEX(Database!$G$8:$G$346,$BQ34)),"")),"")</f>
        <v/>
      </c>
      <c r="C34" s="285"/>
      <c r="D34" s="285"/>
      <c r="E34" s="285"/>
      <c r="F34" s="285"/>
      <c r="G34" s="260" t="str">
        <f>IF(Locked,"",IFERROR(HYPERLINK(INDEX(Database!$Y$8:$Y$346,$BQ34),"EFL"),""))</f>
        <v/>
      </c>
      <c r="H34" s="260" t="str">
        <f>IF(Locked,"",IFERROR(HYPERLINK(INDEX(Database!$U$8:$U$346,$BQ34),"TOS"),""))</f>
        <v/>
      </c>
      <c r="I34" s="284" t="str">
        <f>IFERROR(INDEX(Database!$Q$8:$Q$346,$BQ34),"")</f>
        <v/>
      </c>
      <c r="J34" s="284"/>
      <c r="K34" s="195" t="str">
        <f>IFERROR(IF(All_In,INDEX(Database!$BQ$8:$BQ$346,$BQ34),INDEX(Database!$BR$8:$BR$346,$BQ34)),"")</f>
        <v/>
      </c>
      <c r="L34" s="194" t="str">
        <f>IFERROR(INDEX(Database!$BO$8:$BO$346,$BQ34),"")</f>
        <v/>
      </c>
      <c r="M34" s="243" t="str">
        <f>IFERROR(INDEX(Database!$CX$8:$CX$346,$BQ34),"")</f>
        <v/>
      </c>
      <c r="N34" s="201" t="str">
        <f>IFERROR(INDEX(Database!$BH$8:$BH$346,$BQ34),"")</f>
        <v/>
      </c>
      <c r="O34" s="179"/>
      <c r="P34" s="179" t="str">
        <f>IFERROR(INDEX(Database!$P$8:$P$346,$BQ34),"")</f>
        <v/>
      </c>
      <c r="Q34" s="240" t="str">
        <f>IFERROR(INDEX(Database!$CR$8:$CR$346,$BQ34),"")</f>
        <v/>
      </c>
      <c r="R34" s="180" t="str">
        <f>IFERROR(INDEX(Database!$AC$8:$AC$346,$BQ34),"")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IFERROR(INDEX(Database!$BJ$8:$BJ$346,$BQ34),"")</f>
        <v/>
      </c>
      <c r="X34" s="300"/>
      <c r="Y34" s="272" t="str">
        <f>IFERROR(IF(ISBLANK(INDEX(TOS!$F$6:$AP$214,$BS34,Y$42)),"",INDEX(TOS!$F$6:$AP$214,$BS34,Y$42)),"")</f>
        <v/>
      </c>
      <c r="Z34" s="270" t="str">
        <f>IFERROR(IF(ISBLANK(INDEX(TOS!$F$6:$AP$214,$BS34,Z$42)),"",INDEX(TOS!$F$6:$AP$214,$BS34,Z$42)),"")</f>
        <v/>
      </c>
      <c r="AA34" s="270" t="str">
        <f>IFERROR(IF(ISBLANK(INDEX(TOS!$F$6:$AP$214,$BS34,AA$42)),"",INDEX(TOS!$F$6:$AP$214,$BS34,AA$42)),"")</f>
        <v/>
      </c>
      <c r="AB34" s="270" t="str">
        <f>IFERROR(IF(ISBLANK(INDEX(TOS!$F$6:$AP$214,$BS34,AB$42)),"",INDEX(TOS!$F$6:$AP$214,$BS34,AB$42)),"")</f>
        <v/>
      </c>
      <c r="AC34" s="270" t="str">
        <f>IFERROR(IF(ISBLANK(INDEX(TOS!$F$6:$AP$214,$BS34,AC$42)),"",INDEX(TOS!$F$6:$AP$214,$BS34,AC$42)),"")</f>
        <v/>
      </c>
      <c r="AD34" s="270" t="str">
        <f>IFERROR(IF(ISBLANK(INDEX(TOS!$F$6:$AP$214,$BS34,AD$42)),"",INDEX(TOS!$F$6:$AP$214,$BS34,AD$42)),"")</f>
        <v/>
      </c>
      <c r="AE34" s="270" t="str">
        <f>IFERROR(IF(ISBLANK(INDEX(TOS!$F$6:$AP$214,$BS34,AE$42)),"",INDEX(TOS!$F$6:$AP$214,$BS34,AE$42)),"")</f>
        <v/>
      </c>
      <c r="AF34" s="270" t="str">
        <f>IFERROR(IF(ISBLANK(INDEX(TOS!$F$6:$AP$214,$BS34,AF$42)),"",INDEX(TOS!$F$6:$AP$214,$BS34,AF$42)),"")</f>
        <v/>
      </c>
      <c r="AG34" s="270" t="str">
        <f>IFERROR(IF(ISBLANK(INDEX(TOS!$F$6:$AP$214,$BS34,AG$42)),"",INDEX(TOS!$F$6:$AP$214,$BS34,AG$42)),"")</f>
        <v/>
      </c>
      <c r="AH34" s="270" t="str">
        <f>IFERROR(IF(ISBLANK(INDEX(TOS!$F$6:$AP$214,$BS34,AH$42)),"",INDEX(TOS!$F$6:$AP$214,$BS34,AH$42)),"")</f>
        <v/>
      </c>
      <c r="AI34" s="270" t="str">
        <f>IFERROR(IF(ISBLANK(INDEX(TOS!$F$6:$AP$214,$BS34,AI$42)),"",INDEX(TOS!$F$6:$AP$214,$BS34,AI$42)),"")</f>
        <v/>
      </c>
      <c r="AJ34" s="270" t="str">
        <f>IFERROR(IF(ISBLANK(INDEX(TOS!$F$6:$AP$214,$BS34,AJ$42)),"",INDEX(TOS!$F$6:$AP$214,$BS34,AJ$42)),"")</f>
        <v/>
      </c>
      <c r="AK34" s="270" t="str">
        <f>IFERROR(IF(ISBLANK(INDEX(TOS!$F$6:$AP$214,$BS34,AK$42)),"",INDEX(TOS!$F$6:$AP$214,$BS34,AK$42)),"")</f>
        <v/>
      </c>
      <c r="AL34" s="270" t="str">
        <f>IFERROR(IF(ISBLANK(INDEX(TOS!$F$6:$AP$214,$BS34,AL$42)),"",INDEX(TOS!$F$6:$AP$214,$BS34,AL$42)),"")</f>
        <v/>
      </c>
      <c r="AM34" s="270" t="str">
        <f>IFERROR(IF(ISBLANK(INDEX(TOS!$F$6:$AP$214,$BS34,AM$42)),"",INDEX(TOS!$F$6:$AP$214,$BS34,AM$42)),"")</f>
        <v/>
      </c>
      <c r="AN34" s="270" t="str">
        <f>IFERROR(IF(ISBLANK(INDEX(TOS!$F$6:$AP$214,$BS34,AN$42)),"",INDEX(TOS!$F$6:$AP$214,$BS34,AN$42)),"")</f>
        <v/>
      </c>
      <c r="AO34" s="270" t="str">
        <f>IFERROR(IF(ISBLANK(INDEX(TOS!$F$6:$AP$214,$BS34,AO$42)),"",INDEX(TOS!$F$6:$AP$214,$BS34,AO$42)),"")</f>
        <v/>
      </c>
      <c r="AP34" s="270" t="str">
        <f>IFERROR(IF(ISBLANK(INDEX(TOS!$F$6:$AP$214,$BS34,AP$42)),"",INDEX(TOS!$F$6:$AP$214,$BS34,AP$42)),"")</f>
        <v/>
      </c>
      <c r="AQ34" s="270" t="str">
        <f>IFERROR(IF(ISBLANK(INDEX(TOS!$F$6:$AP$214,$BS34,AQ$42)),"",INDEX(TOS!$F$6:$AP$214,$BS34,AQ$42)),"")</f>
        <v/>
      </c>
      <c r="AR34" s="270" t="str">
        <f>IFERROR(IF(ISBLANK(INDEX(TOS!$F$6:$AP$214,$BS34,AR$42)),"",INDEX(TOS!$F$6:$AP$214,$BS34,AR$42)),"")</f>
        <v/>
      </c>
      <c r="AS34" s="270" t="str">
        <f>IFERROR(IF(ISBLANK(INDEX(TOS!$F$6:$AP$214,$BS34,AS$42)),"",INDEX(TOS!$F$6:$AP$214,$BS34,AS$42)),"")</f>
        <v/>
      </c>
      <c r="AT34" s="270" t="str">
        <f>IFERROR(IF(ISBLANK(INDEX(TOS!$F$6:$AP$214,$BS34,AT$42)),"",INDEX(TOS!$F$6:$AP$214,$BS34,AT$42)),"")</f>
        <v/>
      </c>
      <c r="AU34" s="270" t="str">
        <f>IFERROR(IF(ISBLANK(INDEX(TOS!$F$6:$AP$214,$BS34,AU$42)),"",INDEX(TOS!$F$6:$AP$214,$BS34,AU$42)),"")</f>
        <v/>
      </c>
      <c r="AV34" s="270" t="str">
        <f>IFERROR(IF(ISBLANK(INDEX(TOS!$F$6:$AP$214,$BS34,AV$42)),"",INDEX(TOS!$F$6:$AP$214,$BS34,AV$42)),"")</f>
        <v/>
      </c>
      <c r="AW34" s="270" t="str">
        <f>IFERROR(IF(ISBLANK(INDEX(TOS!$F$6:$AP$214,$BS34,AW$42)),"",INDEX(TOS!$F$6:$AP$214,$BS34,AW$42)),"")</f>
        <v/>
      </c>
      <c r="AX34" s="270" t="str">
        <f>IFERROR(IF(ISBLANK(INDEX(TOS!$F$6:$AP$214,$BS34,AX$42)),"",INDEX(TOS!$F$6:$AP$214,$BS34,AX$42)),"")</f>
        <v/>
      </c>
      <c r="AY34" s="270" t="str">
        <f>IFERROR(IF(ISBLANK(INDEX(TOS!$F$6:$AP$214,$BS34,AY$42)),"",INDEX(TOS!$F$6:$AP$214,$BS34,AY$42)),"")</f>
        <v/>
      </c>
      <c r="AZ34" s="270" t="str">
        <f>IFERROR(IF(ISBLANK(INDEX(TOS!$F$6:$AP$214,$BS34,AZ$42)),"",INDEX(TOS!$F$6:$AP$214,$BS34,AZ$42)),"")</f>
        <v/>
      </c>
      <c r="BA34" s="270" t="str">
        <f>IFERROR(IF(ISBLANK(INDEX(TOS!$F$6:$AP$214,$BS34,BA$42)),"",INDEX(TOS!$F$6:$AP$214,$BS34,BA$42)),"")</f>
        <v/>
      </c>
      <c r="BB34" s="270" t="str">
        <f>IFERROR(IF(ISBLANK(INDEX(TOS!$F$6:$AP$214,$BS34,BB$42)),"",INDEX(TOS!$F$6:$AP$214,$BS34,BB$42)),"")</f>
        <v/>
      </c>
      <c r="BC34" s="270" t="str">
        <f>IFERROR(IF(ISBLANK(INDEX(TOS!$F$6:$AP$214,$BS34,BC$42)),"",INDEX(TOS!$F$6:$AP$214,$BS34,BC$42)),"")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IF(More_Plans,MATCH($A34,Database!$CG$8:$CG$346,0),NA())</f>
        <v>#N/A</v>
      </c>
      <c r="BR34" s="118">
        <f>Locked*IFERROR((($K34-INDEX(Trends!$AA$5:$AA$8,MATCH($I34,{24,12,6,3},-1)))&lt;BR$25),0)</f>
        <v>0</v>
      </c>
      <c r="BS34" t="e">
        <f>MATCH(SUBSTITUTE(INDEX(Database!$U$8:$U$346,$BQ34),"~","~~"),TOS!$C$6:$C$214,0)</f>
        <v>#N/A</v>
      </c>
      <c r="BT34" t="e">
        <f>MATCH(INDEX(Database!$F$8:$F$346,$BQ34),REP_Info!$D$6:$D$250,0)</f>
        <v>#N/A</v>
      </c>
      <c r="BU34" t="str">
        <f>IFERROR(INDEX(Database!$CV$8:$CV$346,$BQ34),"")</f>
        <v/>
      </c>
      <c r="BV34" t="s">
        <v>217</v>
      </c>
      <c r="BZ34" t="s">
        <v>218</v>
      </c>
      <c r="CD34" t="str">
        <f>""</f>
        <v/>
      </c>
      <c r="CN34" t="e">
        <f>INDEX(Database!$AG$8:$BG$346,$BQ34,CN$22)</f>
        <v>#N/A</v>
      </c>
      <c r="CO34" t="e">
        <f>IF(ISBLANK(INDEX(Database!$AG$8:$BG$346,$BQ34,CO$22)),"",INDEX(Database!$AG$8:$BG$346,$BQ34,CO$22))</f>
        <v>#N/A</v>
      </c>
      <c r="CP34" t="e">
        <f>IF(ISBLANK(INDEX(Database!$AG$8:$BG$346,$BQ34,CP$22)),"",INDEX(Database!$AG$8:$BG$346,$BQ34,CP$22))</f>
        <v>#N/A</v>
      </c>
      <c r="CQ34" t="e">
        <f>IF(ISBLANK(INDEX(Database!$AG$8:$BG$346,$BQ34,CQ$22)),"",INDEX(Database!$AG$8:$BG$346,$BQ34,CQ$22))</f>
        <v>#N/A</v>
      </c>
      <c r="CR34" t="e">
        <f>IF(ISBLANK(INDEX(Database!$AG$8:$BG$346,$BQ34,CR$22)),"",INDEX(Database!$AG$8:$BG$346,$BQ34,CR$22))</f>
        <v>#N/A</v>
      </c>
      <c r="CS34" t="e">
        <f>IF(ISBLANK(INDEX(Database!$AG$8:$BG$346,$BQ34,CS$22)),"",INDEX(Database!$AG$8:$BG$346,$BQ34,CS$22))</f>
        <v>#N/A</v>
      </c>
      <c r="CT34" t="e">
        <f>IF(ISBLANK(INDEX(Database!$AG$8:$BG$346,$BQ34,CT$22)),"",INDEX(Database!$AG$8:$BG$346,$BQ34,CT$22))</f>
        <v>#N/A</v>
      </c>
      <c r="CU34" t="e">
        <f>IF(ISBLANK(INDEX(Database!$AG$8:$BG$346,$BQ34,CU$22)),"",INDEX(Database!$AG$8:$BG$346,$BQ34,CU$22))</f>
        <v>#N/A</v>
      </c>
      <c r="CV34" t="e">
        <f>IF(ISBLANK(INDEX(Database!$AG$8:$BG$346,$BQ34,CV$22)),"",INDEX(Database!$AG$8:$BG$346,$BQ34,CV$22))</f>
        <v>#N/A</v>
      </c>
      <c r="CW34" t="e">
        <f>IF(ISBLANK(INDEX(Database!$AG$8:$BG$346,$BQ34,CW$22)),"",INDEX(Database!$AG$8:$BG$346,$BQ34,CW$22))</f>
        <v>#N/A</v>
      </c>
      <c r="CX34" t="e">
        <f>IF(ISBLANK(INDEX(Database!$AG$8:$BG$346,$BQ34,CX$22)),"",INDEX(Database!$AG$8:$BG$346,$BQ34,CX$22))</f>
        <v>#N/A</v>
      </c>
      <c r="CY34" t="e">
        <f>INDEX(Database!$AG$8:$BG$346,$BQ34,CY$22)</f>
        <v>#N/A</v>
      </c>
      <c r="CZ34" t="e">
        <f>INDEX(Database!$AG$8:$BG$346,$BQ34,CZ$22)</f>
        <v>#N/A</v>
      </c>
      <c r="DA34" t="e">
        <f>INDEX(Database!$AG$8:$BG$346,$BQ34,DA$22)</f>
        <v>#N/A</v>
      </c>
      <c r="DB34" t="e">
        <f>INDEX(Database!$AG$8:$BG$346,$BQ34,DB$22)</f>
        <v>#N/A</v>
      </c>
      <c r="DC34" t="e">
        <f>INDEX(Database!$AG$8:$BG$346,$BQ34,DC$22)</f>
        <v>#N/A</v>
      </c>
      <c r="DD34" t="e">
        <f>INDEX(Database!$AG$8:$BG$346,$BQ34,DD$22)</f>
        <v>#N/A</v>
      </c>
      <c r="DE34" s="31" t="e">
        <f>INDEX(Database!$AG$8:$BG$346,$BQ34,DE$22)</f>
        <v>#N/A</v>
      </c>
      <c r="DF34" s="31" t="e">
        <f>INDEX(Database!$AG$8:$BG$346,$BQ34,DF$22)</f>
        <v>#N/A</v>
      </c>
      <c r="DG34" s="31" t="e">
        <f>INDEX(Database!$AG$8:$BG$346,$BQ34,DG$22)</f>
        <v>#N/A</v>
      </c>
      <c r="DH34" s="31" t="e">
        <f>INDEX(Database!$AG$8:$BG$346,$BQ34,DH$22)</f>
        <v>#N/A</v>
      </c>
      <c r="DI34" s="31" t="e">
        <f>INDEX(Database!$AG$8:$BG$346,$BQ34,DI$22)</f>
        <v>#N/A</v>
      </c>
      <c r="DJ34" s="5" t="e">
        <f>INDEX(Database!$AG$8:$BG$346,$BQ34,DJ$22)</f>
        <v>#N/A</v>
      </c>
      <c r="DK34" s="35" t="e">
        <f>INDEX(Database!$AG$8:$BG$346,$BQ34,DK$22)</f>
        <v>#N/A</v>
      </c>
      <c r="DL34" s="6" t="e">
        <f>INDEX(Database!$AG$8:$BG$346,$BQ34,DL$22)</f>
        <v>#N/A</v>
      </c>
      <c r="DM34" s="35" t="e">
        <f>INDEX(Database!$AG$8:$BG$346,$BQ34,DM$22)</f>
        <v>#N/A</v>
      </c>
      <c r="DN34" s="35" t="e">
        <f>INDEX(Database!$AG$8:$BG$346,$BQ34,DN$22)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IF(More_Plans,IF(Locked,IF(Selected_Plan,$BZ35,$BV35),IFERROR(PROPER(INDEX(Database!$G$8:$G$346,$BQ35)),"")),"")</f>
        <v/>
      </c>
      <c r="C35" s="285"/>
      <c r="D35" s="285"/>
      <c r="E35" s="285"/>
      <c r="F35" s="285"/>
      <c r="G35" s="260" t="str">
        <f>IF(Locked,"",IFERROR(HYPERLINK(INDEX(Database!$Y$8:$Y$346,$BQ35),"EFL"),""))</f>
        <v/>
      </c>
      <c r="H35" s="260" t="str">
        <f>IF(Locked,"",IFERROR(HYPERLINK(INDEX(Database!$U$8:$U$346,$BQ35),"TOS"),""))</f>
        <v/>
      </c>
      <c r="I35" s="284" t="str">
        <f>IFERROR(INDEX(Database!$Q$8:$Q$346,$BQ35),"")</f>
        <v/>
      </c>
      <c r="J35" s="284"/>
      <c r="K35" s="195" t="str">
        <f>IFERROR(IF(All_In,INDEX(Database!$BQ$8:$BQ$346,$BQ35),INDEX(Database!$BR$8:$BR$346,$BQ35)),"")</f>
        <v/>
      </c>
      <c r="L35" s="194" t="str">
        <f>IFERROR(INDEX(Database!$BO$8:$BO$346,$BQ35),"")</f>
        <v/>
      </c>
      <c r="M35" s="243" t="str">
        <f>IFERROR(INDEX(Database!$CX$8:$CX$346,$BQ35),"")</f>
        <v/>
      </c>
      <c r="N35" s="201" t="str">
        <f>IFERROR(INDEX(Database!$BH$8:$BH$346,$BQ35),"")</f>
        <v/>
      </c>
      <c r="O35" s="179"/>
      <c r="P35" s="179" t="str">
        <f>IFERROR(INDEX(Database!$P$8:$P$346,$BQ35),"")</f>
        <v/>
      </c>
      <c r="Q35" s="240" t="str">
        <f>IFERROR(INDEX(Database!$CR$8:$CR$346,$BQ35),"")</f>
        <v/>
      </c>
      <c r="R35" s="180" t="str">
        <f>IFERROR(INDEX(Database!$AC$8:$AC$346,$BQ35),"")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IFERROR(INDEX(Database!$BJ$8:$BJ$346,$BQ35),"")</f>
        <v/>
      </c>
      <c r="X35" s="300"/>
      <c r="Y35" s="272" t="str">
        <f>IFERROR(IF(ISBLANK(INDEX(TOS!$F$6:$AP$214,$BS35,Y$42)),"",INDEX(TOS!$F$6:$AP$214,$BS35,Y$42)),"")</f>
        <v/>
      </c>
      <c r="Z35" s="270" t="str">
        <f>IFERROR(IF(ISBLANK(INDEX(TOS!$F$6:$AP$214,$BS35,Z$42)),"",INDEX(TOS!$F$6:$AP$214,$BS35,Z$42)),"")</f>
        <v/>
      </c>
      <c r="AA35" s="270" t="str">
        <f>IFERROR(IF(ISBLANK(INDEX(TOS!$F$6:$AP$214,$BS35,AA$42)),"",INDEX(TOS!$F$6:$AP$214,$BS35,AA$42)),"")</f>
        <v/>
      </c>
      <c r="AB35" s="270" t="str">
        <f>IFERROR(IF(ISBLANK(INDEX(TOS!$F$6:$AP$214,$BS35,AB$42)),"",INDEX(TOS!$F$6:$AP$214,$BS35,AB$42)),"")</f>
        <v/>
      </c>
      <c r="AC35" s="270" t="str">
        <f>IFERROR(IF(ISBLANK(INDEX(TOS!$F$6:$AP$214,$BS35,AC$42)),"",INDEX(TOS!$F$6:$AP$214,$BS35,AC$42)),"")</f>
        <v/>
      </c>
      <c r="AD35" s="270" t="str">
        <f>IFERROR(IF(ISBLANK(INDEX(TOS!$F$6:$AP$214,$BS35,AD$42)),"",INDEX(TOS!$F$6:$AP$214,$BS35,AD$42)),"")</f>
        <v/>
      </c>
      <c r="AE35" s="270" t="str">
        <f>IFERROR(IF(ISBLANK(INDEX(TOS!$F$6:$AP$214,$BS35,AE$42)),"",INDEX(TOS!$F$6:$AP$214,$BS35,AE$42)),"")</f>
        <v/>
      </c>
      <c r="AF35" s="270" t="str">
        <f>IFERROR(IF(ISBLANK(INDEX(TOS!$F$6:$AP$214,$BS35,AF$42)),"",INDEX(TOS!$F$6:$AP$214,$BS35,AF$42)),"")</f>
        <v/>
      </c>
      <c r="AG35" s="270" t="str">
        <f>IFERROR(IF(ISBLANK(INDEX(TOS!$F$6:$AP$214,$BS35,AG$42)),"",INDEX(TOS!$F$6:$AP$214,$BS35,AG$42)),"")</f>
        <v/>
      </c>
      <c r="AH35" s="270" t="str">
        <f>IFERROR(IF(ISBLANK(INDEX(TOS!$F$6:$AP$214,$BS35,AH$42)),"",INDEX(TOS!$F$6:$AP$214,$BS35,AH$42)),"")</f>
        <v/>
      </c>
      <c r="AI35" s="270" t="str">
        <f>IFERROR(IF(ISBLANK(INDEX(TOS!$F$6:$AP$214,$BS35,AI$42)),"",INDEX(TOS!$F$6:$AP$214,$BS35,AI$42)),"")</f>
        <v/>
      </c>
      <c r="AJ35" s="270" t="str">
        <f>IFERROR(IF(ISBLANK(INDEX(TOS!$F$6:$AP$214,$BS35,AJ$42)),"",INDEX(TOS!$F$6:$AP$214,$BS35,AJ$42)),"")</f>
        <v/>
      </c>
      <c r="AK35" s="270" t="str">
        <f>IFERROR(IF(ISBLANK(INDEX(TOS!$F$6:$AP$214,$BS35,AK$42)),"",INDEX(TOS!$F$6:$AP$214,$BS35,AK$42)),"")</f>
        <v/>
      </c>
      <c r="AL35" s="270" t="str">
        <f>IFERROR(IF(ISBLANK(INDEX(TOS!$F$6:$AP$214,$BS35,AL$42)),"",INDEX(TOS!$F$6:$AP$214,$BS35,AL$42)),"")</f>
        <v/>
      </c>
      <c r="AM35" s="270" t="str">
        <f>IFERROR(IF(ISBLANK(INDEX(TOS!$F$6:$AP$214,$BS35,AM$42)),"",INDEX(TOS!$F$6:$AP$214,$BS35,AM$42)),"")</f>
        <v/>
      </c>
      <c r="AN35" s="270" t="str">
        <f>IFERROR(IF(ISBLANK(INDEX(TOS!$F$6:$AP$214,$BS35,AN$42)),"",INDEX(TOS!$F$6:$AP$214,$BS35,AN$42)),"")</f>
        <v/>
      </c>
      <c r="AO35" s="270" t="str">
        <f>IFERROR(IF(ISBLANK(INDEX(TOS!$F$6:$AP$214,$BS35,AO$42)),"",INDEX(TOS!$F$6:$AP$214,$BS35,AO$42)),"")</f>
        <v/>
      </c>
      <c r="AP35" s="270" t="str">
        <f>IFERROR(IF(ISBLANK(INDEX(TOS!$F$6:$AP$214,$BS35,AP$42)),"",INDEX(TOS!$F$6:$AP$214,$BS35,AP$42)),"")</f>
        <v/>
      </c>
      <c r="AQ35" s="270" t="str">
        <f>IFERROR(IF(ISBLANK(INDEX(TOS!$F$6:$AP$214,$BS35,AQ$42)),"",INDEX(TOS!$F$6:$AP$214,$BS35,AQ$42)),"")</f>
        <v/>
      </c>
      <c r="AR35" s="270" t="str">
        <f>IFERROR(IF(ISBLANK(INDEX(TOS!$F$6:$AP$214,$BS35,AR$42)),"",INDEX(TOS!$F$6:$AP$214,$BS35,AR$42)),"")</f>
        <v/>
      </c>
      <c r="AS35" s="270" t="str">
        <f>IFERROR(IF(ISBLANK(INDEX(TOS!$F$6:$AP$214,$BS35,AS$42)),"",INDEX(TOS!$F$6:$AP$214,$BS35,AS$42)),"")</f>
        <v/>
      </c>
      <c r="AT35" s="270" t="str">
        <f>IFERROR(IF(ISBLANK(INDEX(TOS!$F$6:$AP$214,$BS35,AT$42)),"",INDEX(TOS!$F$6:$AP$214,$BS35,AT$42)),"")</f>
        <v/>
      </c>
      <c r="AU35" s="270" t="str">
        <f>IFERROR(IF(ISBLANK(INDEX(TOS!$F$6:$AP$214,$BS35,AU$42)),"",INDEX(TOS!$F$6:$AP$214,$BS35,AU$42)),"")</f>
        <v/>
      </c>
      <c r="AV35" s="270" t="str">
        <f>IFERROR(IF(ISBLANK(INDEX(TOS!$F$6:$AP$214,$BS35,AV$42)),"",INDEX(TOS!$F$6:$AP$214,$BS35,AV$42)),"")</f>
        <v/>
      </c>
      <c r="AW35" s="270" t="str">
        <f>IFERROR(IF(ISBLANK(INDEX(TOS!$F$6:$AP$214,$BS35,AW$42)),"",INDEX(TOS!$F$6:$AP$214,$BS35,AW$42)),"")</f>
        <v/>
      </c>
      <c r="AX35" s="270" t="str">
        <f>IFERROR(IF(ISBLANK(INDEX(TOS!$F$6:$AP$214,$BS35,AX$42)),"",INDEX(TOS!$F$6:$AP$214,$BS35,AX$42)),"")</f>
        <v/>
      </c>
      <c r="AY35" s="270" t="str">
        <f>IFERROR(IF(ISBLANK(INDEX(TOS!$F$6:$AP$214,$BS35,AY$42)),"",INDEX(TOS!$F$6:$AP$214,$BS35,AY$42)),"")</f>
        <v/>
      </c>
      <c r="AZ35" s="270" t="str">
        <f>IFERROR(IF(ISBLANK(INDEX(TOS!$F$6:$AP$214,$BS35,AZ$42)),"",INDEX(TOS!$F$6:$AP$214,$BS35,AZ$42)),"")</f>
        <v/>
      </c>
      <c r="BA35" s="270" t="str">
        <f>IFERROR(IF(ISBLANK(INDEX(TOS!$F$6:$AP$214,$BS35,BA$42)),"",INDEX(TOS!$F$6:$AP$214,$BS35,BA$42)),"")</f>
        <v/>
      </c>
      <c r="BB35" s="270" t="str">
        <f>IFERROR(IF(ISBLANK(INDEX(TOS!$F$6:$AP$214,$BS35,BB$42)),"",INDEX(TOS!$F$6:$AP$214,$BS35,BB$42)),"")</f>
        <v/>
      </c>
      <c r="BC35" s="270" t="str">
        <f>IFERROR(IF(ISBLANK(INDEX(TOS!$F$6:$AP$214,$BS35,BC$42)),"",INDEX(TOS!$F$6:$AP$214,$BS35,BC$42)),"")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IF(More_Plans,MATCH($A35,Database!$CG$8:$CG$346,0),NA())</f>
        <v>#N/A</v>
      </c>
      <c r="BR35" s="118">
        <f>Locked*IFERROR((($K35-INDEX(Trends!$AA$5:$AA$8,MATCH($I35,{24,12,6,3},-1)))&lt;BR$25),0)</f>
        <v>0</v>
      </c>
      <c r="BS35" t="e">
        <f>MATCH(SUBSTITUTE(INDEX(Database!$U$8:$U$346,$BQ35),"~","~~"),TOS!$C$6:$C$214,0)</f>
        <v>#N/A</v>
      </c>
      <c r="BT35" t="e">
        <f>MATCH(INDEX(Database!$F$8:$F$346,$BQ35),REP_Info!$D$6:$D$250,0)</f>
        <v>#N/A</v>
      </c>
      <c r="BU35" t="str">
        <f>IFERROR(INDEX(Database!$CV$8:$CV$346,$BQ35),"")</f>
        <v/>
      </c>
      <c r="BV35" t="str">
        <f>""</f>
        <v/>
      </c>
      <c r="BZ35" t="s">
        <v>221</v>
      </c>
      <c r="CD35" t="str">
        <f>""</f>
        <v/>
      </c>
      <c r="CN35" t="e">
        <f>INDEX(Database!$AG$8:$BG$346,$BQ35,CN$22)</f>
        <v>#N/A</v>
      </c>
      <c r="CO35" t="e">
        <f>IF(ISBLANK(INDEX(Database!$AG$8:$BG$346,$BQ35,CO$22)),"",INDEX(Database!$AG$8:$BG$346,$BQ35,CO$22))</f>
        <v>#N/A</v>
      </c>
      <c r="CP35" t="e">
        <f>IF(ISBLANK(INDEX(Database!$AG$8:$BG$346,$BQ35,CP$22)),"",INDEX(Database!$AG$8:$BG$346,$BQ35,CP$22))</f>
        <v>#N/A</v>
      </c>
      <c r="CQ35" t="e">
        <f>IF(ISBLANK(INDEX(Database!$AG$8:$BG$346,$BQ35,CQ$22)),"",INDEX(Database!$AG$8:$BG$346,$BQ35,CQ$22))</f>
        <v>#N/A</v>
      </c>
      <c r="CR35" t="e">
        <f>IF(ISBLANK(INDEX(Database!$AG$8:$BG$346,$BQ35,CR$22)),"",INDEX(Database!$AG$8:$BG$346,$BQ35,CR$22))</f>
        <v>#N/A</v>
      </c>
      <c r="CS35" t="e">
        <f>IF(ISBLANK(INDEX(Database!$AG$8:$BG$346,$BQ35,CS$22)),"",INDEX(Database!$AG$8:$BG$346,$BQ35,CS$22))</f>
        <v>#N/A</v>
      </c>
      <c r="CT35" t="e">
        <f>IF(ISBLANK(INDEX(Database!$AG$8:$BG$346,$BQ35,CT$22)),"",INDEX(Database!$AG$8:$BG$346,$BQ35,CT$22))</f>
        <v>#N/A</v>
      </c>
      <c r="CU35" t="e">
        <f>IF(ISBLANK(INDEX(Database!$AG$8:$BG$346,$BQ35,CU$22)),"",INDEX(Database!$AG$8:$BG$346,$BQ35,CU$22))</f>
        <v>#N/A</v>
      </c>
      <c r="CV35" t="e">
        <f>IF(ISBLANK(INDEX(Database!$AG$8:$BG$346,$BQ35,CV$22)),"",INDEX(Database!$AG$8:$BG$346,$BQ35,CV$22))</f>
        <v>#N/A</v>
      </c>
      <c r="CW35" t="e">
        <f>IF(ISBLANK(INDEX(Database!$AG$8:$BG$346,$BQ35,CW$22)),"",INDEX(Database!$AG$8:$BG$346,$BQ35,CW$22))</f>
        <v>#N/A</v>
      </c>
      <c r="CX35" t="e">
        <f>IF(ISBLANK(INDEX(Database!$AG$8:$BG$346,$BQ35,CX$22)),"",INDEX(Database!$AG$8:$BG$346,$BQ35,CX$22))</f>
        <v>#N/A</v>
      </c>
      <c r="CY35" t="e">
        <f>INDEX(Database!$AG$8:$BG$346,$BQ35,CY$22)</f>
        <v>#N/A</v>
      </c>
      <c r="CZ35" t="e">
        <f>INDEX(Database!$AG$8:$BG$346,$BQ35,CZ$22)</f>
        <v>#N/A</v>
      </c>
      <c r="DA35" t="e">
        <f>INDEX(Database!$AG$8:$BG$346,$BQ35,DA$22)</f>
        <v>#N/A</v>
      </c>
      <c r="DB35" t="e">
        <f>INDEX(Database!$AG$8:$BG$346,$BQ35,DB$22)</f>
        <v>#N/A</v>
      </c>
      <c r="DC35" t="e">
        <f>INDEX(Database!$AG$8:$BG$346,$BQ35,DC$22)</f>
        <v>#N/A</v>
      </c>
      <c r="DD35" t="e">
        <f>INDEX(Database!$AG$8:$BG$346,$BQ35,DD$22)</f>
        <v>#N/A</v>
      </c>
      <c r="DE35" s="31" t="e">
        <f>INDEX(Database!$AG$8:$BG$346,$BQ35,DE$22)</f>
        <v>#N/A</v>
      </c>
      <c r="DF35" s="31" t="e">
        <f>INDEX(Database!$AG$8:$BG$346,$BQ35,DF$22)</f>
        <v>#N/A</v>
      </c>
      <c r="DG35" s="31" t="e">
        <f>INDEX(Database!$AG$8:$BG$346,$BQ35,DG$22)</f>
        <v>#N/A</v>
      </c>
      <c r="DH35" s="31" t="e">
        <f>INDEX(Database!$AG$8:$BG$346,$BQ35,DH$22)</f>
        <v>#N/A</v>
      </c>
      <c r="DI35" s="31" t="e">
        <f>INDEX(Database!$AG$8:$BG$346,$BQ35,DI$22)</f>
        <v>#N/A</v>
      </c>
      <c r="DJ35" s="5" t="e">
        <f>INDEX(Database!$AG$8:$BG$346,$BQ35,DJ$22)</f>
        <v>#N/A</v>
      </c>
      <c r="DK35" s="35" t="e">
        <f>INDEX(Database!$AG$8:$BG$346,$BQ35,DK$22)</f>
        <v>#N/A</v>
      </c>
      <c r="DL35" s="6" t="e">
        <f>INDEX(Database!$AG$8:$BG$346,$BQ35,DL$22)</f>
        <v>#N/A</v>
      </c>
      <c r="DM35" s="35" t="e">
        <f>INDEX(Database!$AG$8:$BG$346,$BQ35,DM$22)</f>
        <v>#N/A</v>
      </c>
      <c r="DN35" s="35" t="e">
        <f>INDEX(Database!$AG$8:$BG$346,$BQ35,DN$22)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IF(Locked,"",IF(Sign_Up,IF(LEFT(INDEX(Database!$Z$8:$Z$346,Plan_DBRow),4)="http",HYPERLINK(INDEX(Database!$Z$8:$Z$346,Plan_DBRow),"Sign Up!"),HYPERLINK("Call "&amp;INDEX(Database!$AB$8:$AB$346,Plan_DBRow)&amp;"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1410</v>
      </c>
      <c r="B1" s="1"/>
      <c r="L1" t="s">
        <v>1411</v>
      </c>
    </row>
    <row r="2" spans="1:58" x14ac:dyDescent="0.25">
      <c r="A2" s="34" t="s">
        <v>1412</v>
      </c>
      <c r="B2" s="34"/>
      <c r="L2" t="s">
        <v>1413</v>
      </c>
    </row>
    <row r="3" spans="1:58" x14ac:dyDescent="0.25">
      <c r="L3" t="s">
        <v>1414</v>
      </c>
      <c r="T3" s="89" t="str">
        <f>IF(TDU_IDd,"","(Enter ZIP Code to include delivery costs)")</f>
        <v>(Enter ZIP Code to include delivery costs)</v>
      </c>
    </row>
    <row r="4" spans="1:58" x14ac:dyDescent="0.25">
      <c r="D4" t="s">
        <v>1415</v>
      </c>
      <c r="E4" s="1"/>
      <c r="F4" s="1"/>
      <c r="G4" s="1"/>
      <c r="H4" t="s">
        <v>203</v>
      </c>
      <c r="I4" s="1"/>
      <c r="J4" t="s">
        <v>1416</v>
      </c>
      <c r="K4" s="1"/>
      <c r="L4" s="152" t="s">
        <v>1417</v>
      </c>
      <c r="M4" s="1"/>
      <c r="N4" s="1"/>
      <c r="O4" s="1"/>
      <c r="P4" s="1"/>
      <c r="Q4" s="1"/>
      <c r="R4" s="1"/>
      <c r="S4" s="1"/>
      <c r="T4" s="89" t="str">
        <f>IF($L$5=1,"Lowest Electric Rates (Energy Only)",IF(L5=2,"             Lowest Electric Rates",""))</f>
        <v>Lowest Electric Rates (Energy Only)</v>
      </c>
      <c r="W4" s="135" t="s">
        <v>1418</v>
      </c>
      <c r="X4" s="1" t="s">
        <v>1419</v>
      </c>
      <c r="Y4" s="1" t="s">
        <v>1420</v>
      </c>
      <c r="Z4" s="1" t="s">
        <v>1421</v>
      </c>
      <c r="AA4" s="1" t="s">
        <v>1422</v>
      </c>
      <c r="AB4" s="1" t="s">
        <v>1423</v>
      </c>
      <c r="AC4" s="1" t="s">
        <v>1424</v>
      </c>
      <c r="AD4" s="1" t="s">
        <v>1425</v>
      </c>
      <c r="AE4" s="1" t="s">
        <v>1426</v>
      </c>
      <c r="AF4" s="1" t="s">
        <v>1427</v>
      </c>
      <c r="AG4" s="1" t="s">
        <v>1428</v>
      </c>
      <c r="AP4" s="153"/>
    </row>
    <row r="5" spans="1:58" x14ac:dyDescent="0.25">
      <c r="B5" s="89" t="s">
        <v>1429</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1430</v>
      </c>
      <c r="X5">
        <v>3</v>
      </c>
      <c r="Y5">
        <f>MATCH(LEFT($T$6,3)&amp;"-"&amp;X5&amp;"-"&amp;$T$11,$V$16:$AK$16,0)</f>
        <v>9</v>
      </c>
      <c r="Z5" s="152">
        <f>INDEX($V$17:$AK$3534,$T$13,$Y5)+$T$5*$U$13</f>
        <v>6.415</v>
      </c>
      <c r="AA5" s="152">
        <f>INDEX($V$17:$AK$3534,$T$13,$Y5)+$U$13</f>
        <v>12.647500000000001</v>
      </c>
      <c r="AG5" t="s">
        <v>1431</v>
      </c>
      <c r="AP5" s="153"/>
    </row>
    <row r="6" spans="1:58" x14ac:dyDescent="0.25">
      <c r="B6" s="89" t="s">
        <v>1432</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1433</v>
      </c>
      <c r="X6">
        <v>6</v>
      </c>
      <c r="Y6">
        <f>MATCH(LEFT($T$6,3)&amp;"-"&amp;X6&amp;"-"&amp;$T$11,$V$16:$AK$16,0)</f>
        <v>10</v>
      </c>
      <c r="Z6" s="152">
        <f>INDEX($V$17:$AK$3534,$T$13,$Y6)+$T$5*$U$13</f>
        <v>6.0469999999999997</v>
      </c>
      <c r="AA6" s="152">
        <f>INDEX($V$17:$AK$3534,$T$13,$Y6)+$U$13</f>
        <v>12.279499999999999</v>
      </c>
      <c r="AG6" t="s">
        <v>1434</v>
      </c>
      <c r="AP6" s="153"/>
    </row>
    <row r="7" spans="1:58" x14ac:dyDescent="0.25">
      <c r="B7" s="89" t="s">
        <v>1435</v>
      </c>
      <c r="D7">
        <f>INDEX($Y$5:$Y$11,D$5)</f>
        <v>11</v>
      </c>
      <c r="H7" t="e">
        <f>INDEX($Y$5:$Y$11,H$5)</f>
        <v>#N/A</v>
      </c>
      <c r="J7" t="e">
        <f>INDEX($Y$5:$Y$12,J$5)</f>
        <v>#N/A</v>
      </c>
      <c r="K7" s="152"/>
      <c r="L7" s="152"/>
      <c r="M7" s="152"/>
      <c r="N7" s="152"/>
      <c r="O7" s="152"/>
      <c r="P7" s="152"/>
      <c r="Q7" s="152"/>
      <c r="R7" s="152"/>
      <c r="S7" s="152"/>
      <c r="T7" s="89" t="str">
        <f>IF(LEFT($T$6,3)="CEN","Houston","DFW")</f>
        <v>DFW</v>
      </c>
      <c r="W7" s="89" t="s">
        <v>1436</v>
      </c>
      <c r="X7">
        <v>12</v>
      </c>
      <c r="Y7">
        <f>MATCH(LEFT($T$6,3)&amp;"-"&amp;X7&amp;"-"&amp;$T$11,$V$16:$AK$16,0)</f>
        <v>11</v>
      </c>
      <c r="Z7" s="152">
        <f>INDEX($V$17:$AK$3534,$T$13,$Y7)+$T$5*$U$13</f>
        <v>4.92</v>
      </c>
      <c r="AA7" s="152">
        <f>INDEX($V$17:$AK$3534,$T$13,$Y7)+$U$13</f>
        <v>11.1525</v>
      </c>
      <c r="AG7" t="s">
        <v>1437</v>
      </c>
      <c r="AP7" s="153"/>
    </row>
    <row r="8" spans="1:58" x14ac:dyDescent="0.25">
      <c r="B8" s="89" t="s">
        <v>1438</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1439</v>
      </c>
      <c r="X8">
        <v>24</v>
      </c>
      <c r="Y8">
        <f>MATCH(LEFT($T$6,3)&amp;"-"&amp;X8&amp;"-"&amp;$T$11,$V$16:$AK$16,0)</f>
        <v>12</v>
      </c>
      <c r="Z8" s="152">
        <f>INDEX($V$17:$AK$3534,$T$13,$Y8)+$T$5*$U$13</f>
        <v>5.81</v>
      </c>
      <c r="AA8" s="152">
        <f>INDEX($V$17:$AK$3534,$T$13,$Y8)+$U$13</f>
        <v>12.0425</v>
      </c>
      <c r="AG8" t="s">
        <v>1440</v>
      </c>
      <c r="AP8" s="153"/>
    </row>
    <row r="9" spans="1:58" x14ac:dyDescent="0.25">
      <c r="B9" s="89" t="s">
        <v>1441</v>
      </c>
      <c r="D9">
        <f>INDEX($AC$5:$AC$11,D$5)</f>
        <v>0</v>
      </c>
      <c r="H9" t="e">
        <f>INDEX($AC$5:$AC$11,H$5)</f>
        <v>#N/A</v>
      </c>
      <c r="J9" t="e">
        <f>INDEX($AC$5:$AC$12,J$5)</f>
        <v>#N/A</v>
      </c>
      <c r="T9" s="89" t="s">
        <v>1442</v>
      </c>
      <c r="W9" s="89" t="s">
        <v>1443</v>
      </c>
      <c r="X9">
        <v>12</v>
      </c>
      <c r="Y9">
        <f>19+(LEFT($T$6,3)="ONC")</f>
        <v>20</v>
      </c>
      <c r="AB9" s="53">
        <v>0.15</v>
      </c>
      <c r="AC9">
        <v>9.99</v>
      </c>
      <c r="AD9" s="185">
        <v>2.5000000000000001E-2</v>
      </c>
      <c r="AE9">
        <v>0.25</v>
      </c>
      <c r="AG9" t="s">
        <v>1444</v>
      </c>
      <c r="AP9" s="153"/>
    </row>
    <row r="10" spans="1:58" x14ac:dyDescent="0.25">
      <c r="B10" s="89" t="s">
        <v>1445</v>
      </c>
      <c r="D10">
        <f>INDEX($AD$5:$AD$11,D$5)</f>
        <v>0</v>
      </c>
      <c r="H10" t="e">
        <f>INDEX($AD$5:$AD$11,H$5)</f>
        <v>#N/A</v>
      </c>
      <c r="J10" t="e">
        <f>INDEX($AD$5:$AD$12,J$5)</f>
        <v>#N/A</v>
      </c>
      <c r="T10" s="89" t="s">
        <v>1446</v>
      </c>
      <c r="W10" s="89" t="s">
        <v>1447</v>
      </c>
      <c r="X10">
        <v>1</v>
      </c>
      <c r="Y10">
        <f>17+(LEFT($T$6,3)="ONC")</f>
        <v>18</v>
      </c>
      <c r="AB10" s="53">
        <v>0.15</v>
      </c>
      <c r="AC10">
        <v>9.99</v>
      </c>
      <c r="AD10" s="185">
        <v>2.5000000000000001E-2</v>
      </c>
      <c r="AE10">
        <v>0.25</v>
      </c>
      <c r="AG10" t="s">
        <v>1448</v>
      </c>
      <c r="AP10" s="153"/>
    </row>
    <row r="11" spans="1:58" x14ac:dyDescent="0.25">
      <c r="B11" s="89" t="s">
        <v>1449</v>
      </c>
      <c r="D11">
        <f>INDEX($AE$5:$AE$11,D$5)</f>
        <v>0</v>
      </c>
      <c r="H11" t="e">
        <f>INDEX($AE$5:$AE$11,H$5)</f>
        <v>#N/A</v>
      </c>
      <c r="J11" t="e">
        <f>INDEX($AE$5:$AE$12,J$5)</f>
        <v>#N/A</v>
      </c>
      <c r="T11" s="5">
        <f>IF(Calculator!BV3&lt;1500,1000,2000)</f>
        <v>2000</v>
      </c>
      <c r="W11" s="89" t="s">
        <v>1450</v>
      </c>
      <c r="X11">
        <v>1</v>
      </c>
      <c r="Y11">
        <v>21</v>
      </c>
      <c r="AB11" s="53"/>
      <c r="AD11" s="185"/>
      <c r="AG11" t="s">
        <v>1451</v>
      </c>
      <c r="AP11" s="153"/>
    </row>
    <row r="12" spans="1:58" x14ac:dyDescent="0.25">
      <c r="B12" s="156"/>
      <c r="C12" s="155">
        <f>IF($L$5=3,DATEVALUE("1/1/2020"),DATEVALUE("1/1/2017"))</f>
        <v>42736</v>
      </c>
      <c r="N12">
        <f>MIN(Plan_Length,12)</f>
        <v>12</v>
      </c>
      <c r="Q12">
        <f>MIN(Term_Max,12)</f>
        <v>12</v>
      </c>
      <c r="W12" s="89" t="s">
        <v>1452</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IF(Show_Plan,IF($T$5,INDEX(Database!$BQ$8:$BQ$346,Plan_DBRow),INDEX(Database!$BR$8:$BR$346,Plan_DBRow)),NA())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1453</v>
      </c>
      <c r="BE14" s="192" t="s">
        <v>1454</v>
      </c>
    </row>
    <row r="15" spans="1:58" hidden="1" x14ac:dyDescent="0.25"/>
    <row r="16" spans="1:58" ht="78.75" customHeight="1" x14ac:dyDescent="0.25">
      <c r="C16" s="63" t="s">
        <v>1406</v>
      </c>
      <c r="D16" s="63" t="s">
        <v>1436</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1455</v>
      </c>
      <c r="U16" s="63" t="s">
        <v>1456</v>
      </c>
      <c r="V16" s="151" t="s">
        <v>1457</v>
      </c>
      <c r="W16" s="151" t="s">
        <v>1458</v>
      </c>
      <c r="X16" s="151" t="s">
        <v>1459</v>
      </c>
      <c r="Y16" s="151" t="s">
        <v>1460</v>
      </c>
      <c r="Z16" s="151" t="s">
        <v>1461</v>
      </c>
      <c r="AA16" s="151" t="s">
        <v>1462</v>
      </c>
      <c r="AB16" s="151" t="s">
        <v>1463</v>
      </c>
      <c r="AC16" s="151" t="s">
        <v>1464</v>
      </c>
      <c r="AD16" s="151" t="s">
        <v>1465</v>
      </c>
      <c r="AE16" s="151" t="s">
        <v>1466</v>
      </c>
      <c r="AF16" s="151" t="s">
        <v>1467</v>
      </c>
      <c r="AG16" s="151" t="s">
        <v>1468</v>
      </c>
      <c r="AH16" s="151" t="s">
        <v>1469</v>
      </c>
      <c r="AI16" s="151" t="s">
        <v>1470</v>
      </c>
      <c r="AJ16" s="151" t="s">
        <v>1471</v>
      </c>
      <c r="AK16" s="151" t="s">
        <v>1472</v>
      </c>
      <c r="AL16" s="187" t="s">
        <v>1473</v>
      </c>
      <c r="AM16" s="187" t="s">
        <v>1474</v>
      </c>
      <c r="AN16" s="151" t="s">
        <v>1475</v>
      </c>
      <c r="AO16" s="151" t="s">
        <v>1476</v>
      </c>
      <c r="AP16" s="151" t="s">
        <v>1477</v>
      </c>
      <c r="AQ16" s="151" t="s">
        <v>1478</v>
      </c>
      <c r="AR16" s="63" t="s">
        <v>1479</v>
      </c>
      <c r="AS16" s="63" t="s">
        <v>1480</v>
      </c>
      <c r="AT16" s="63" t="s">
        <v>1481</v>
      </c>
      <c r="AU16" s="63" t="s">
        <v>1482</v>
      </c>
      <c r="AV16" s="63" t="s">
        <v>1483</v>
      </c>
      <c r="AW16" s="151" t="s">
        <v>1484</v>
      </c>
      <c r="AX16" s="151" t="s">
        <v>1485</v>
      </c>
      <c r="AY16" s="151" t="s">
        <v>1486</v>
      </c>
      <c r="AZ16" s="151" t="s">
        <v>1487</v>
      </c>
      <c r="BA16" s="151" t="s">
        <v>1488</v>
      </c>
      <c r="BB16" s="188" t="s">
        <v>1489</v>
      </c>
      <c r="BC16" s="188" t="s">
        <v>1473</v>
      </c>
      <c r="BD16" s="188" t="s">
        <v>1490</v>
      </c>
      <c r="BE16" s="193" t="s">
        <v>1489</v>
      </c>
      <c r="BF16" s="188" t="s">
        <v>1491</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1492</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1493</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1494</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1495</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1496</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1497</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1498</v>
      </c>
      <c r="E1" s="6">
        <f>IFERROR(IF(INDEX(UnlockCodes[Expiration],MATCH(Unlock_Code,UnlockCodes[Code],0))&gt;Rel_Date,0,1),2)</f>
        <v>2</v>
      </c>
    </row>
    <row r="2" spans="1:5" x14ac:dyDescent="0.25">
      <c r="A2" s="84" t="s">
        <v>227</v>
      </c>
    </row>
    <row r="4" spans="1:5" s="1" customFormat="1" x14ac:dyDescent="0.25">
      <c r="B4" s="1" t="s">
        <v>1499</v>
      </c>
      <c r="C4" s="1" t="s">
        <v>1500</v>
      </c>
      <c r="D4" s="1" t="s">
        <v>1501</v>
      </c>
      <c r="E4" s="1" t="s">
        <v>1502</v>
      </c>
    </row>
    <row r="5" spans="1:5" x14ac:dyDescent="0.25">
      <c r="B5" t="s">
        <v>1503</v>
      </c>
      <c r="C5" s="3">
        <v>43531</v>
      </c>
      <c r="D5" s="3">
        <v>43783</v>
      </c>
    </row>
    <row r="6" spans="1:5" x14ac:dyDescent="0.25">
      <c r="B6" t="s">
        <v>1504</v>
      </c>
      <c r="C6" s="3">
        <v>43660</v>
      </c>
      <c r="D6" s="3">
        <v>43800</v>
      </c>
    </row>
    <row r="7" spans="1:5" x14ac:dyDescent="0.25">
      <c r="B7" t="s">
        <v>1505</v>
      </c>
      <c r="C7" s="3">
        <v>43678</v>
      </c>
      <c r="D7" s="3">
        <v>43800</v>
      </c>
    </row>
    <row r="8" spans="1:5" x14ac:dyDescent="0.25">
      <c r="B8" t="s">
        <v>1506</v>
      </c>
      <c r="C8" s="3">
        <v>43709</v>
      </c>
      <c r="D8" s="3">
        <v>43831</v>
      </c>
    </row>
    <row r="9" spans="1:5" x14ac:dyDescent="0.25">
      <c r="B9" t="s">
        <v>1507</v>
      </c>
      <c r="C9" s="3">
        <v>43739</v>
      </c>
      <c r="D9" s="3">
        <v>43862</v>
      </c>
    </row>
    <row r="10" spans="1:5" x14ac:dyDescent="0.25">
      <c r="B10" t="s">
        <v>1508</v>
      </c>
      <c r="C10" s="3">
        <v>43770</v>
      </c>
      <c r="D10" s="3">
        <v>43891</v>
      </c>
    </row>
    <row r="11" spans="1:5" x14ac:dyDescent="0.25">
      <c r="B11" t="s">
        <v>1509</v>
      </c>
      <c r="C11" s="3">
        <v>43800</v>
      </c>
      <c r="D11" s="3">
        <v>43922</v>
      </c>
    </row>
    <row r="12" spans="1:5" x14ac:dyDescent="0.25">
      <c r="B12" t="s">
        <v>1510</v>
      </c>
      <c r="C12" s="3">
        <v>43831</v>
      </c>
      <c r="D12" s="3">
        <v>43952</v>
      </c>
    </row>
    <row r="13" spans="1:5" x14ac:dyDescent="0.25">
      <c r="B13" t="s">
        <v>1511</v>
      </c>
      <c r="C13" s="3">
        <v>43862</v>
      </c>
      <c r="D13" s="3">
        <v>43983</v>
      </c>
    </row>
    <row r="14" spans="1:5" x14ac:dyDescent="0.25">
      <c r="B14" t="s">
        <v>1512</v>
      </c>
      <c r="C14" s="3">
        <v>43891</v>
      </c>
      <c r="D14" s="3">
        <v>44013</v>
      </c>
    </row>
    <row r="15" spans="1:5" x14ac:dyDescent="0.25">
      <c r="B15" t="s">
        <v>1513</v>
      </c>
      <c r="C15" s="3">
        <v>43913</v>
      </c>
      <c r="D15" s="3">
        <v>43983</v>
      </c>
      <c r="E15" t="s">
        <v>1514</v>
      </c>
    </row>
    <row r="16" spans="1:5" x14ac:dyDescent="0.25">
      <c r="B16" t="s">
        <v>1515</v>
      </c>
      <c r="C16" s="3">
        <v>43922</v>
      </c>
      <c r="D16" s="3">
        <v>44044</v>
      </c>
    </row>
    <row r="17" spans="2:5" x14ac:dyDescent="0.25">
      <c r="B17" t="s">
        <v>1516</v>
      </c>
      <c r="C17" s="3">
        <v>43952</v>
      </c>
      <c r="D17" s="3">
        <v>44044</v>
      </c>
      <c r="E17" t="s">
        <v>1514</v>
      </c>
    </row>
    <row r="18" spans="2:5" x14ac:dyDescent="0.25">
      <c r="B18" t="s">
        <v>1517</v>
      </c>
      <c r="C18" s="3">
        <v>43952</v>
      </c>
      <c r="D18" s="3">
        <v>44075</v>
      </c>
    </row>
    <row r="19" spans="2:5" x14ac:dyDescent="0.25">
      <c r="B19" t="s">
        <v>1518</v>
      </c>
      <c r="C19" s="3">
        <v>43982</v>
      </c>
      <c r="D19" s="3">
        <v>44075</v>
      </c>
      <c r="E19" t="s">
        <v>1514</v>
      </c>
    </row>
    <row r="20" spans="2:5" x14ac:dyDescent="0.25">
      <c r="B20" t="s">
        <v>1519</v>
      </c>
      <c r="C20" s="3">
        <v>43982</v>
      </c>
      <c r="D20" s="3">
        <v>44105</v>
      </c>
    </row>
    <row r="21" spans="2:5" x14ac:dyDescent="0.25">
      <c r="B21" t="s">
        <v>1520</v>
      </c>
      <c r="C21" s="3">
        <v>44013</v>
      </c>
      <c r="D21" s="3">
        <v>44105</v>
      </c>
      <c r="E21" t="s">
        <v>1514</v>
      </c>
    </row>
    <row r="22" spans="2:5" x14ac:dyDescent="0.25">
      <c r="B22" t="s">
        <v>1521</v>
      </c>
      <c r="C22" s="3">
        <v>44013</v>
      </c>
      <c r="D22" s="3">
        <v>44136</v>
      </c>
    </row>
    <row r="23" spans="2:5" x14ac:dyDescent="0.25">
      <c r="B23" t="s">
        <v>1522</v>
      </c>
      <c r="C23" s="3">
        <v>44044</v>
      </c>
      <c r="D23" s="3">
        <v>44136</v>
      </c>
      <c r="E23" t="s">
        <v>1514</v>
      </c>
    </row>
    <row r="24" spans="2:5" x14ac:dyDescent="0.25">
      <c r="B24" t="s">
        <v>1523</v>
      </c>
      <c r="C24" s="3">
        <v>44044</v>
      </c>
      <c r="D24" s="3">
        <v>44166</v>
      </c>
    </row>
    <row r="25" spans="2:5" x14ac:dyDescent="0.25">
      <c r="B25" t="s">
        <v>1524</v>
      </c>
      <c r="C25" s="3">
        <v>44075</v>
      </c>
      <c r="D25" s="3">
        <v>44166</v>
      </c>
      <c r="E25" t="s">
        <v>1514</v>
      </c>
    </row>
    <row r="26" spans="2:5" x14ac:dyDescent="0.25">
      <c r="B26" t="s">
        <v>1525</v>
      </c>
      <c r="C26" s="3">
        <v>44075</v>
      </c>
      <c r="D26" s="3">
        <v>44197</v>
      </c>
    </row>
    <row r="27" spans="2:5" x14ac:dyDescent="0.25">
      <c r="B27" t="s">
        <v>1526</v>
      </c>
      <c r="C27" s="3">
        <v>44105</v>
      </c>
      <c r="D27" s="3">
        <v>44228</v>
      </c>
    </row>
    <row r="28" spans="2:5" x14ac:dyDescent="0.25">
      <c r="B28" t="s">
        <v>1527</v>
      </c>
      <c r="C28" s="3">
        <v>44136</v>
      </c>
      <c r="D28" s="3">
        <v>44256</v>
      </c>
    </row>
    <row r="29" spans="2:5" x14ac:dyDescent="0.25">
      <c r="B29" t="s">
        <v>1528</v>
      </c>
      <c r="C29" s="3">
        <v>44166</v>
      </c>
      <c r="D29" s="3">
        <v>44287</v>
      </c>
    </row>
    <row r="30" spans="2:5" x14ac:dyDescent="0.25">
      <c r="B30" t="s">
        <v>1529</v>
      </c>
      <c r="C30" s="3">
        <v>44197</v>
      </c>
      <c r="D30" s="3">
        <v>44317</v>
      </c>
    </row>
    <row r="31" spans="2:5" x14ac:dyDescent="0.25">
      <c r="B31" t="s">
        <v>1530</v>
      </c>
      <c r="C31" s="3">
        <v>44228</v>
      </c>
      <c r="D31" s="3">
        <v>44348</v>
      </c>
    </row>
    <row r="32" spans="2:5" x14ac:dyDescent="0.25">
      <c r="B32" t="s">
        <v>1531</v>
      </c>
      <c r="C32" s="3">
        <v>44256</v>
      </c>
      <c r="D32" s="3">
        <v>44378</v>
      </c>
    </row>
    <row r="33" spans="2:4" x14ac:dyDescent="0.25">
      <c r="B33" t="s">
        <v>1532</v>
      </c>
      <c r="C33" s="3">
        <v>44287</v>
      </c>
      <c r="D33" s="3">
        <v>44409</v>
      </c>
    </row>
    <row r="34" spans="2:4" x14ac:dyDescent="0.25">
      <c r="B34" t="s">
        <v>1533</v>
      </c>
      <c r="C34" s="3">
        <v>44317</v>
      </c>
      <c r="D34" s="3">
        <v>44440</v>
      </c>
    </row>
    <row r="35" spans="2:4" x14ac:dyDescent="0.25">
      <c r="B35" t="s">
        <v>1534</v>
      </c>
      <c r="C35" s="3">
        <v>44317</v>
      </c>
      <c r="D35" s="3">
        <v>44440</v>
      </c>
    </row>
    <row r="36" spans="2:4" x14ac:dyDescent="0.25">
      <c r="B36" t="s">
        <v>1535</v>
      </c>
      <c r="C36" s="3">
        <v>44348</v>
      </c>
      <c r="D36" s="3">
        <v>44470</v>
      </c>
    </row>
    <row r="37" spans="2:4" x14ac:dyDescent="0.25">
      <c r="B37" t="s">
        <v>1536</v>
      </c>
      <c r="C37" s="3">
        <v>44378</v>
      </c>
      <c r="D37" s="3">
        <v>44501</v>
      </c>
    </row>
    <row r="38" spans="2:4" x14ac:dyDescent="0.25">
      <c r="B38" t="s">
        <v>1537</v>
      </c>
      <c r="C38" s="3">
        <v>44409</v>
      </c>
      <c r="D38" s="3">
        <v>44531</v>
      </c>
    </row>
    <row r="39" spans="2:4" x14ac:dyDescent="0.25">
      <c r="B39" t="s">
        <v>1538</v>
      </c>
      <c r="C39" s="3">
        <v>44440</v>
      </c>
      <c r="D39" s="3">
        <v>44562</v>
      </c>
    </row>
    <row r="40" spans="2:4" x14ac:dyDescent="0.25">
      <c r="B40" t="s">
        <v>1539</v>
      </c>
      <c r="C40" s="3">
        <v>44470</v>
      </c>
      <c r="D40" s="3">
        <v>44593</v>
      </c>
    </row>
    <row r="41" spans="2:4" x14ac:dyDescent="0.25">
      <c r="B41" t="s">
        <v>1540</v>
      </c>
      <c r="C41" s="3">
        <v>44501</v>
      </c>
      <c r="D41" s="3">
        <v>44621</v>
      </c>
    </row>
    <row r="42" spans="2:4" x14ac:dyDescent="0.25">
      <c r="B42" t="s">
        <v>1541</v>
      </c>
      <c r="C42" s="3">
        <v>44531</v>
      </c>
      <c r="D42" s="3">
        <v>44652</v>
      </c>
    </row>
    <row r="43" spans="2:4" x14ac:dyDescent="0.25">
      <c r="B43" t="s">
        <v>1542</v>
      </c>
      <c r="C43" s="3">
        <v>44562</v>
      </c>
      <c r="D43" s="3">
        <v>44682</v>
      </c>
    </row>
    <row r="44" spans="2:4" x14ac:dyDescent="0.25">
      <c r="B44" t="s">
        <v>1543</v>
      </c>
      <c r="C44" s="3">
        <v>44593</v>
      </c>
      <c r="D44" s="3">
        <v>44713</v>
      </c>
    </row>
    <row r="45" spans="2:4" x14ac:dyDescent="0.25">
      <c r="B45" t="s">
        <v>1544</v>
      </c>
      <c r="C45" s="3">
        <v>44621</v>
      </c>
      <c r="D45" s="3">
        <v>44743</v>
      </c>
    </row>
    <row r="46" spans="2:4" x14ac:dyDescent="0.25">
      <c r="B46" t="s">
        <v>1545</v>
      </c>
      <c r="C46" s="3">
        <v>44652</v>
      </c>
      <c r="D46" s="3">
        <v>44774</v>
      </c>
    </row>
    <row r="47" spans="2:4" x14ac:dyDescent="0.25">
      <c r="B47" t="s">
        <v>1546</v>
      </c>
      <c r="C47" s="3">
        <v>44682</v>
      </c>
      <c r="D47" s="3">
        <v>44805</v>
      </c>
    </row>
    <row r="48" spans="2:4" x14ac:dyDescent="0.25">
      <c r="B48" t="s">
        <v>1547</v>
      </c>
      <c r="C48" s="3">
        <v>44713</v>
      </c>
      <c r="D48" s="3">
        <v>44835</v>
      </c>
    </row>
    <row r="49" spans="2:4" x14ac:dyDescent="0.25">
      <c r="B49" t="s">
        <v>1548</v>
      </c>
      <c r="C49" s="3">
        <v>44743</v>
      </c>
      <c r="D49" s="3">
        <v>44866</v>
      </c>
    </row>
    <row r="50" spans="2:4" x14ac:dyDescent="0.25">
      <c r="B50" t="s">
        <v>1549</v>
      </c>
      <c r="C50" s="3">
        <v>44774</v>
      </c>
      <c r="D50" s="3">
        <v>44896</v>
      </c>
    </row>
    <row r="51" spans="2:4" x14ac:dyDescent="0.25">
      <c r="B51" t="s">
        <v>1550</v>
      </c>
      <c r="C51" s="3">
        <v>44805</v>
      </c>
      <c r="D51" s="3">
        <v>44927</v>
      </c>
    </row>
    <row r="52" spans="2:4" x14ac:dyDescent="0.25">
      <c r="B52" t="s">
        <v>1551</v>
      </c>
      <c r="C52" s="3">
        <v>44835</v>
      </c>
      <c r="D52" s="3">
        <v>44958</v>
      </c>
    </row>
    <row r="53" spans="2:4" x14ac:dyDescent="0.25">
      <c r="B53" t="s">
        <v>1552</v>
      </c>
      <c r="C53" s="3">
        <v>44866</v>
      </c>
      <c r="D53" s="3">
        <v>44986</v>
      </c>
    </row>
    <row r="54" spans="2:4" x14ac:dyDescent="0.25">
      <c r="B54" t="s">
        <v>1553</v>
      </c>
      <c r="C54" s="3">
        <v>44896</v>
      </c>
      <c r="D54" s="3">
        <v>45017</v>
      </c>
    </row>
    <row r="55" spans="2:4" x14ac:dyDescent="0.25">
      <c r="B55" t="s">
        <v>1554</v>
      </c>
      <c r="C55" s="3">
        <v>44927</v>
      </c>
      <c r="D55" s="3">
        <v>45047</v>
      </c>
    </row>
    <row r="56" spans="2:4" x14ac:dyDescent="0.25">
      <c r="B56" t="s">
        <v>1555</v>
      </c>
      <c r="C56" s="3">
        <v>44958</v>
      </c>
      <c r="D56" s="3">
        <v>45078</v>
      </c>
    </row>
    <row r="57" spans="2:4" x14ac:dyDescent="0.25">
      <c r="B57" t="s">
        <v>1556</v>
      </c>
      <c r="C57" s="3">
        <v>44986</v>
      </c>
      <c r="D57" s="3">
        <v>45108</v>
      </c>
    </row>
    <row r="58" spans="2:4" x14ac:dyDescent="0.25">
      <c r="B58" t="s">
        <v>1557</v>
      </c>
      <c r="C58" s="3">
        <v>45017</v>
      </c>
      <c r="D58" s="3">
        <v>45139</v>
      </c>
    </row>
    <row r="59" spans="2:4" x14ac:dyDescent="0.25">
      <c r="B59" t="s">
        <v>1558</v>
      </c>
      <c r="C59" s="3">
        <v>45047</v>
      </c>
      <c r="D59" s="3">
        <v>45170</v>
      </c>
    </row>
    <row r="60" spans="2:4" x14ac:dyDescent="0.25">
      <c r="B60" t="s">
        <v>1559</v>
      </c>
      <c r="C60" s="3">
        <v>45078</v>
      </c>
      <c r="D60" s="3">
        <v>45200</v>
      </c>
    </row>
    <row r="61" spans="2:4" x14ac:dyDescent="0.25">
      <c r="B61" t="s">
        <v>1560</v>
      </c>
      <c r="C61" s="3">
        <v>45108</v>
      </c>
      <c r="D61" s="3">
        <v>45231</v>
      </c>
    </row>
    <row r="62" spans="2:4" x14ac:dyDescent="0.25">
      <c r="B62" t="s">
        <v>1561</v>
      </c>
      <c r="C62" s="3">
        <v>45108</v>
      </c>
      <c r="D62" s="3">
        <v>45261</v>
      </c>
    </row>
    <row r="63" spans="2:4" x14ac:dyDescent="0.25">
      <c r="B63" t="s">
        <v>1562</v>
      </c>
      <c r="C63" s="3">
        <v>45170</v>
      </c>
      <c r="D63" s="3">
        <v>45292</v>
      </c>
    </row>
    <row r="64" spans="2:4" x14ac:dyDescent="0.25">
      <c r="B64" t="s">
        <v>1563</v>
      </c>
      <c r="C64" s="3">
        <v>45200</v>
      </c>
      <c r="D64" s="3">
        <v>45323</v>
      </c>
    </row>
    <row r="65" spans="2:4" x14ac:dyDescent="0.25">
      <c r="B65" t="s">
        <v>1564</v>
      </c>
      <c r="C65" s="3">
        <v>45231</v>
      </c>
      <c r="D65" s="3">
        <v>45352</v>
      </c>
    </row>
    <row r="66" spans="2:4" x14ac:dyDescent="0.25">
      <c r="B66" t="s">
        <v>1565</v>
      </c>
      <c r="C66" s="3">
        <v>45261</v>
      </c>
      <c r="D66" s="3">
        <v>45383</v>
      </c>
    </row>
    <row r="67" spans="2:4" x14ac:dyDescent="0.25">
      <c r="B67" t="s">
        <v>1566</v>
      </c>
      <c r="C67" s="3">
        <v>45292</v>
      </c>
      <c r="D67" s="3">
        <v>45413</v>
      </c>
    </row>
    <row r="68" spans="2:4" x14ac:dyDescent="0.25">
      <c r="B68" t="s">
        <v>1567</v>
      </c>
      <c r="C68" s="3">
        <v>45323</v>
      </c>
      <c r="D68" s="3">
        <v>45444</v>
      </c>
    </row>
    <row r="69" spans="2:4" x14ac:dyDescent="0.25">
      <c r="B69" t="s">
        <v>1568</v>
      </c>
      <c r="C69" s="3">
        <v>45352</v>
      </c>
      <c r="D69" s="3">
        <v>45474</v>
      </c>
    </row>
    <row r="70" spans="2:4" x14ac:dyDescent="0.25">
      <c r="B70" t="s">
        <v>1569</v>
      </c>
      <c r="C70" s="3">
        <v>45383</v>
      </c>
      <c r="D70" s="3">
        <v>45505</v>
      </c>
    </row>
    <row r="71" spans="2:4" x14ac:dyDescent="0.25">
      <c r="B71" t="s">
        <v>1570</v>
      </c>
      <c r="C71" s="3">
        <v>45413</v>
      </c>
      <c r="D71" s="3">
        <v>45536</v>
      </c>
    </row>
    <row r="72" spans="2:4" x14ac:dyDescent="0.25">
      <c r="B72" t="s">
        <v>1571</v>
      </c>
      <c r="C72" s="3">
        <v>45444</v>
      </c>
      <c r="D72" s="3">
        <v>45566</v>
      </c>
    </row>
    <row r="73" spans="2:4" x14ac:dyDescent="0.25">
      <c r="B73" t="s">
        <v>1572</v>
      </c>
      <c r="C73" s="3">
        <v>45474</v>
      </c>
      <c r="D73" s="3">
        <v>45597</v>
      </c>
    </row>
    <row r="74" spans="2:4" x14ac:dyDescent="0.25">
      <c r="B74" t="s">
        <v>1573</v>
      </c>
      <c r="C74" s="3">
        <v>45474</v>
      </c>
      <c r="D74" s="3">
        <v>45597</v>
      </c>
    </row>
    <row r="75" spans="2:4" x14ac:dyDescent="0.25">
      <c r="B75" t="s">
        <v>1574</v>
      </c>
      <c r="C75" s="3">
        <v>45504</v>
      </c>
      <c r="D75" s="3">
        <v>45627</v>
      </c>
    </row>
    <row r="76" spans="2:4" x14ac:dyDescent="0.25">
      <c r="B76" t="s">
        <v>1575</v>
      </c>
      <c r="C76" s="3">
        <v>45536</v>
      </c>
      <c r="D76" s="3">
        <v>45658</v>
      </c>
    </row>
    <row r="77" spans="2:4" x14ac:dyDescent="0.25">
      <c r="B77" t="s">
        <v>1576</v>
      </c>
      <c r="C77" s="3">
        <v>45566</v>
      </c>
      <c r="D77" s="3">
        <v>45689</v>
      </c>
    </row>
    <row r="78" spans="2:4" x14ac:dyDescent="0.25">
      <c r="B78" t="s">
        <v>1577</v>
      </c>
      <c r="C78" s="3">
        <v>45597</v>
      </c>
      <c r="D78" s="3">
        <v>45717</v>
      </c>
    </row>
    <row r="79" spans="2:4" x14ac:dyDescent="0.25">
      <c r="B79" t="s">
        <v>1578</v>
      </c>
      <c r="C79" s="3">
        <v>45627</v>
      </c>
      <c r="D79" s="3">
        <v>45748</v>
      </c>
    </row>
    <row r="80" spans="2:4" x14ac:dyDescent="0.25">
      <c r="B80" t="s">
        <v>1579</v>
      </c>
      <c r="C80" s="3">
        <v>45658</v>
      </c>
      <c r="D80" s="3">
        <v>45778</v>
      </c>
    </row>
    <row r="81" spans="2:4" x14ac:dyDescent="0.25">
      <c r="B81" t="s">
        <v>1580</v>
      </c>
      <c r="C81" s="3">
        <v>45689</v>
      </c>
      <c r="D81" s="3">
        <v>45809</v>
      </c>
    </row>
    <row r="82" spans="2:4" x14ac:dyDescent="0.25">
      <c r="B82" t="s">
        <v>1581</v>
      </c>
      <c r="C82" s="3">
        <v>45717</v>
      </c>
      <c r="D82" s="3">
        <v>45839</v>
      </c>
    </row>
    <row r="83" spans="2:4" x14ac:dyDescent="0.25">
      <c r="B83" t="s">
        <v>1582</v>
      </c>
      <c r="C83" s="3">
        <v>45748</v>
      </c>
      <c r="D83" s="3">
        <v>45870</v>
      </c>
    </row>
    <row r="84" spans="2:4" x14ac:dyDescent="0.25">
      <c r="B84" t="s">
        <v>1583</v>
      </c>
      <c r="C84" s="3">
        <v>45778</v>
      </c>
      <c r="D84" s="3">
        <v>45918</v>
      </c>
    </row>
    <row r="85" spans="2:4" x14ac:dyDescent="0.25">
      <c r="B85" t="s">
        <v>1584</v>
      </c>
      <c r="C85" s="3">
        <v>45809</v>
      </c>
      <c r="D85" s="3">
        <v>45931</v>
      </c>
    </row>
    <row r="86" spans="2:4" x14ac:dyDescent="0.25">
      <c r="B86" t="s">
        <v>1585</v>
      </c>
      <c r="C86" s="3">
        <v>45839</v>
      </c>
      <c r="D86" s="3">
        <v>45962</v>
      </c>
    </row>
    <row r="87" spans="2:4" x14ac:dyDescent="0.25">
      <c r="B87" t="s">
        <v>1586</v>
      </c>
      <c r="C87" s="3">
        <v>45870</v>
      </c>
      <c r="D87" s="3">
        <v>45992</v>
      </c>
    </row>
    <row r="88" spans="2:4" x14ac:dyDescent="0.25">
      <c r="B88" t="s">
        <v>1587</v>
      </c>
      <c r="C88" s="3">
        <v>45901</v>
      </c>
      <c r="D88" s="3">
        <v>46023</v>
      </c>
    </row>
    <row r="89" spans="2:4" x14ac:dyDescent="0.25">
      <c r="B89" t="s">
        <v>1588</v>
      </c>
      <c r="C89" s="3">
        <v>45931</v>
      </c>
      <c r="D89" s="3">
        <v>46054</v>
      </c>
    </row>
    <row r="90" spans="2:4" x14ac:dyDescent="0.25">
      <c r="B90" t="s">
        <v>1589</v>
      </c>
      <c r="C90" s="3">
        <v>45962</v>
      </c>
      <c r="D90" s="3">
        <v>46082</v>
      </c>
    </row>
    <row r="91" spans="2:4" x14ac:dyDescent="0.25">
      <c r="B91" t="s">
        <v>1590</v>
      </c>
      <c r="C91" s="3">
        <v>45992</v>
      </c>
      <c r="D91" s="3">
        <v>46113</v>
      </c>
    </row>
    <row r="92" spans="2:4" x14ac:dyDescent="0.25">
      <c r="B92" t="s">
        <v>1591</v>
      </c>
      <c r="C92" s="3">
        <v>46023</v>
      </c>
      <c r="D92" s="3">
        <v>46143</v>
      </c>
    </row>
    <row r="93" spans="2:4" x14ac:dyDescent="0.25">
      <c r="B93" t="s">
        <v>1592</v>
      </c>
      <c r="C93" s="3">
        <v>46054</v>
      </c>
      <c r="D93" s="3">
        <v>46174</v>
      </c>
    </row>
    <row r="94" spans="2:4" x14ac:dyDescent="0.25">
      <c r="B94" t="s">
        <v>1593</v>
      </c>
      <c r="C94" s="3">
        <v>46082</v>
      </c>
      <c r="D94" s="3">
        <v>46204</v>
      </c>
    </row>
    <row r="95" spans="2:4" x14ac:dyDescent="0.25">
      <c r="B95" t="s">
        <v>1594</v>
      </c>
      <c r="C95" s="3">
        <v>46113</v>
      </c>
      <c r="D95" s="3">
        <v>46235</v>
      </c>
    </row>
    <row r="96" spans="2:4" x14ac:dyDescent="0.25">
      <c r="B96" t="s">
        <v>1595</v>
      </c>
      <c r="C96" s="3">
        <v>46143</v>
      </c>
      <c r="D96" s="3">
        <v>46266</v>
      </c>
    </row>
    <row r="97" spans="2:4" x14ac:dyDescent="0.25">
      <c r="B97" t="s">
        <v>1675</v>
      </c>
      <c r="C97" s="3">
        <v>46174</v>
      </c>
      <c r="D97" s="3">
        <v>46296</v>
      </c>
    </row>
    <row r="98" spans="2:4" x14ac:dyDescent="0.25">
      <c r="B98" t="s">
        <v>1785</v>
      </c>
      <c r="C98" s="3">
        <v>46204</v>
      </c>
      <c r="D98" s="3">
        <v>46327</v>
      </c>
    </row>
    <row r="99" spans="2:4" x14ac:dyDescent="0.25">
      <c r="B99" t="s">
        <v>2200</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48"/>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03, 2026 6:25p)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46237.767361111109</v>
      </c>
      <c r="C3" s="41">
        <f>A3+1.5</f>
        <v>46239.267361111109</v>
      </c>
      <c r="E3" s="275">
        <f>SUBTOTAL(3,E8:E346)</f>
        <v>337</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5.4614419347479428</v>
      </c>
      <c r="BT4" s="143">
        <v>6.3813597992243292</v>
      </c>
      <c r="BU4" s="143">
        <v>7.3998402920374708</v>
      </c>
      <c r="BV4" s="143">
        <v>8.3854665754050277</v>
      </c>
      <c r="BW4" s="143">
        <v>9.4039470682181694</v>
      </c>
      <c r="BX4" s="143">
        <v>10.389573351585724</v>
      </c>
      <c r="BY4" s="143">
        <v>11.408053844398866</v>
      </c>
      <c r="BZ4" s="143">
        <v>0.43474788957340471</v>
      </c>
      <c r="CA4" s="143">
        <v>1.4203741729409611</v>
      </c>
      <c r="CB4" s="143">
        <v>2.438854665754103</v>
      </c>
      <c r="CC4" s="143">
        <v>3.4244809491216595</v>
      </c>
      <c r="CD4" s="143">
        <v>4.4429614419348011</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INDEX($CG$8:$CG$346,MATCH(MIN($CR$8:$CR$346),$CR$8:$CR$346,0))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46"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1"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46" si="2">IFERROR(SUMPRODUCT($BS$7:$CD$7,$BS8:$CD8)/100,"$$$")</f>
        <v>$$$</v>
      </c>
      <c r="BP8" s="88" t="str">
        <f t="shared" ref="BP8" si="3">IFERROR(BO8*100/BO$5,"$$$")</f>
        <v>$$$</v>
      </c>
      <c r="BQ8" s="88" t="str">
        <f t="shared" ref="BQ8:BQ346" si="4">IFERROR(SUMPRODUCT($BS$7:$CD$7,$BS8:$CD8,--($BS$4:$CD$4&lt;=$Q8))/SUMPRODUCT(--($BS$4:$CD$4&lt;=$Q8),$BS$7:$CD$7),"$$$")</f>
        <v>$$$</v>
      </c>
      <c r="BR8" s="88" t="str">
        <f t="shared" ref="BR8:BR346" si="5">IFERROR($BQ8-$BF8*100*SUMPRODUCT(--($BS$4:$CD$4&lt;=$Q8))/SUMPRODUCT(--($BS$4:$CD$4&lt;=$Q8),$BS$7:$CD$7)-$BG8*100,"$$$")</f>
        <v>$$$</v>
      </c>
      <c r="BS8" s="29" t="e">
        <f t="shared" ref="BS8:CD161"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97" si="7">IF(ISNUMBER(CF8),RANK($CF8,$CF$8:$CF$346,1),"")</f>
        <v/>
      </c>
      <c r="CF8" s="27" t="e">
        <f>IF(AND(CI8,NOT(AD8)),LOOKUP(CF$5,{0,750,1500},H8:J8),"")</f>
        <v>#N/A</v>
      </c>
      <c r="CG8" s="6" t="str">
        <f t="shared" ref="CG8:CG97" si="8">IF(ISNUMBER(CH8),RANK($CH8,$CH$8:$CH$346,1),"")</f>
        <v/>
      </c>
      <c r="CH8" t="e">
        <f t="shared" ref="CH8" si="9">IF(CI8,IF(ISNUMBER(BO8),BO8,100000)+CV8/10000+IF(ISNUMBER(BJ8),BJ8,2)/10000-P8/100000+ROW()/10000000,"")</f>
        <v>#N/A</v>
      </c>
      <c r="CI8" t="e">
        <f t="shared" ref="CI8" si="10">PRODUCT(CJ8:CQ8)</f>
        <v>#N/A</v>
      </c>
      <c r="CJ8" s="6" t="e">
        <f t="shared" ref="CJ8:CJ346" si="11">IF($E8=CJ$5,1,0)</f>
        <v>#N/A</v>
      </c>
      <c r="CK8" s="6">
        <f t="shared" ref="CK8:CK346" si="12">IF(CK$5="[Any]",1,IF($F8=CK$5,1,0))</f>
        <v>1</v>
      </c>
      <c r="CL8" s="6">
        <f>IFERROR(--OR(ISBLANK(CL$5),$BJ8="",AND(ISNUMBER($BJ8),$BJ8&lt;=CL$5)),1)</f>
        <v>1</v>
      </c>
      <c r="CM8" s="6">
        <f t="shared" ref="CM8:CM346" si="13">IF($O8="Fixed",1,0)</f>
        <v>0</v>
      </c>
      <c r="CN8" s="6">
        <f t="shared" ref="CN8:CN346" si="14">IF($Q8&gt;=CN$5,1,0)</f>
        <v>0</v>
      </c>
      <c r="CO8" s="6">
        <f t="shared" ref="CO8:CO346" si="15">IF($Q8&lt;=CO$5,1,0)</f>
        <v>1</v>
      </c>
      <c r="CP8" s="6">
        <f t="shared" ref="CP8:CP346" si="16">IF($P8&gt;=CP$5,1,0)</f>
        <v>1</v>
      </c>
      <c r="CQ8" s="6">
        <f>IF(CQ$5="Any",1,IF(AND(CQ$5="Med",AV8=0,SUM(AN8:AQ8)=0),1,IF(AND(CQ$5="Low",AV8=0,SUM(AN8:AQ8)=0,AM8=0),1,IF(AND(CQ$5="Flat",AV8=0,SUM(AN8:AQ8)=0,AM8=0,IFERROR(NOT(BE8="Y"),0)),1,0))))</f>
        <v>1</v>
      </c>
      <c r="CR8" s="81" t="str">
        <f t="shared" ref="CR8:CR346" si="17">IF(ISNUMBER($CH8),$CH8+$CS8+$CW8,"")</f>
        <v/>
      </c>
      <c r="CS8">
        <f t="shared" ref="CS8" si="18">CS$5*(12/(MIN(12,Q8))-1)</f>
        <v>0</v>
      </c>
      <c r="CT8">
        <f t="shared" ref="CT8:CT283"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46"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46"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46230.89166666667</v>
      </c>
      <c r="D10">
        <v>31927</v>
      </c>
      <c r="E10" s="54" t="s">
        <v>235</v>
      </c>
      <c r="F10" s="54" t="s">
        <v>965</v>
      </c>
      <c r="G10" s="54" t="s">
        <v>1598</v>
      </c>
      <c r="H10" s="55">
        <v>12.7</v>
      </c>
      <c r="I10" s="55">
        <v>11.700000000000001</v>
      </c>
      <c r="J10" s="55">
        <v>11.200000000000001</v>
      </c>
      <c r="K10" s="54"/>
      <c r="L10" s="56" t="b">
        <v>0</v>
      </c>
      <c r="M10" s="56" t="b">
        <v>0</v>
      </c>
      <c r="N10" s="54">
        <v>1</v>
      </c>
      <c r="O10" s="54" t="s">
        <v>228</v>
      </c>
      <c r="P10" s="54">
        <v>25</v>
      </c>
      <c r="Q10" s="54">
        <v>12</v>
      </c>
      <c r="R10" s="54">
        <v>200</v>
      </c>
      <c r="S10" s="54" t="s">
        <v>1599</v>
      </c>
      <c r="T10" s="54" t="s">
        <v>1600</v>
      </c>
      <c r="U10" s="54" t="s">
        <v>1596</v>
      </c>
      <c r="V10" s="54" t="s">
        <v>1601</v>
      </c>
      <c r="W10" s="54" t="b">
        <v>0</v>
      </c>
      <c r="X10" s="54"/>
      <c r="Y10" s="57" t="s">
        <v>1602</v>
      </c>
      <c r="Z10" s="54" t="s">
        <v>1603</v>
      </c>
      <c r="AA10" s="54"/>
      <c r="AB10" s="54" t="s">
        <v>1604</v>
      </c>
      <c r="AC10" s="56" t="b">
        <v>1</v>
      </c>
      <c r="AD10" s="56" t="b">
        <v>0</v>
      </c>
      <c r="AE10" s="54" t="s">
        <v>303</v>
      </c>
      <c r="AF10" s="58">
        <v>46230</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5.5599999999999997E-2</v>
      </c>
      <c r="BC10" s="60">
        <v>4.9000000000000004</v>
      </c>
      <c r="BD10" s="61">
        <v>5.1461E-2</v>
      </c>
      <c r="BE10" s="62" t="s">
        <v>293</v>
      </c>
      <c r="BF10" s="35">
        <f t="shared" si="0"/>
        <v>4.9000000000000004</v>
      </c>
      <c r="BG10" s="35">
        <f t="shared" si="0"/>
        <v>5.1461E-2</v>
      </c>
      <c r="BH10" s="35" t="str">
        <f t="shared" ref="BH10:BH35" si="32">IF(ISTEXT(BE10),IF(AND(AV10=0,SUM(AN10:AQ10)=0),IF(AM10&lt;=0,IF(BE10="Y","Low","Flat"),"Med"),"High"),"?")</f>
        <v>Med</v>
      </c>
      <c r="BI10" s="110">
        <f t="shared" ref="BI10:BI35" si="33">IF(ISNUMBER(AH10),0*BI$5*SIN((EDATE($A$3,$Q10)-DATE(YEAR(EDATE($A$3,$Q10)),1,0)-BI$4)*2*PI()/365),"")</f>
        <v>0</v>
      </c>
      <c r="BJ10" s="83">
        <f>VLOOKUP($F10,REP_Info!$D$6:$H$250,5,FALSE)</f>
        <v>2.7330000000000001</v>
      </c>
      <c r="BK10" s="30">
        <f t="shared" ref="BK10:BN35" si="34">IF(BK$7&gt;0,(LOOKUP(BK$7,$AH10:$AL10,$AM10:$AQ10)+IF($AG10="Y",SUMPRODUCT($AX10:$BB10-$AW10:$BA10,BK$7-$AR10:$AV10,N(BK$7&gt;$AR10:$AV10)),BK$7*LOOKUP(BK$7,$AR10:$AV10,$AX10:$BB10))+IF($BE10="Y",$BF10,$BC10)+BK$7*IF($BE10="Y",$BG10,$BD10))*100/BK$7,"")</f>
        <v>12.686099999999998</v>
      </c>
      <c r="BL10" s="30">
        <f t="shared" si="34"/>
        <v>11.696099999999999</v>
      </c>
      <c r="BM10" s="30">
        <f t="shared" si="34"/>
        <v>11.2011</v>
      </c>
      <c r="BN10" s="29">
        <f t="shared" si="34"/>
        <v>11.036099999999999</v>
      </c>
      <c r="BO10" s="85" t="str">
        <f t="shared" si="2"/>
        <v>$$$</v>
      </c>
      <c r="BP10" s="88" t="str">
        <f t="shared" ref="BP10:BP35" si="35">IFERROR(BO10*100/BO$5,"$$$")</f>
        <v>$$$</v>
      </c>
      <c r="BQ10" s="88" t="str">
        <f t="shared" si="4"/>
        <v>$$$</v>
      </c>
      <c r="BR10" s="88" t="str">
        <f t="shared" si="5"/>
        <v>$$$</v>
      </c>
      <c r="BS10" s="29" t="e">
        <f t="shared" ref="BS10:CD35" si="36">IF($CI10,IF(BS$7&gt;0,IF(BS$4&gt;$Q10,$BF10+BS$7*(BS$5+$BG10+$BI10),LOOKUP(BS$7,$AH10:$AL10,$AM10:$AQ10)+IF($AG10="Y",SUMPRODUCT($AX10:$BB10-$AW10:$BA10,BS$7-$AR10:$AV10,N(BS$7&gt;$AR10:$AV10)),BS$7*LOOKUP(BS$7,$AR10:$AV10,$AX10:$BB10))+IF($BE10="Y",$BF10,$BC10)+BS$7*IF($BE10="Y",$BG10,$BD10))*100/BS$7,""),NA())</f>
        <v>#N/A</v>
      </c>
      <c r="BT10" s="29" t="e">
        <f t="shared" si="36"/>
        <v>#N/A</v>
      </c>
      <c r="BU10" s="29" t="e">
        <f t="shared" si="36"/>
        <v>#N/A</v>
      </c>
      <c r="BV10" s="29" t="e">
        <f t="shared" si="36"/>
        <v>#N/A</v>
      </c>
      <c r="BW10" s="29" t="e">
        <f t="shared" si="36"/>
        <v>#N/A</v>
      </c>
      <c r="BX10" s="29" t="e">
        <f t="shared" si="36"/>
        <v>#N/A</v>
      </c>
      <c r="BY10" s="29" t="e">
        <f t="shared" si="36"/>
        <v>#N/A</v>
      </c>
      <c r="BZ10" s="29" t="e">
        <f t="shared" si="36"/>
        <v>#N/A</v>
      </c>
      <c r="CA10" s="29" t="e">
        <f t="shared" si="36"/>
        <v>#N/A</v>
      </c>
      <c r="CB10" s="29" t="e">
        <f t="shared" si="36"/>
        <v>#N/A</v>
      </c>
      <c r="CC10" s="29" t="e">
        <f t="shared" si="36"/>
        <v>#N/A</v>
      </c>
      <c r="CD10" s="29" t="e">
        <f t="shared" si="36"/>
        <v>#N/A</v>
      </c>
      <c r="CE10" s="6" t="str">
        <f t="shared" ref="CE10:CE35" si="37">IF(ISNUMBER(CF10),RANK($CF10,$CF$8:$CF$346,1),"")</f>
        <v/>
      </c>
      <c r="CF10" s="27" t="e">
        <f>IF(AND(CI10,NOT(AD10)),LOOKUP(CF$5,{0,750,1500},H10:J10),"")</f>
        <v>#N/A</v>
      </c>
      <c r="CG10" s="6" t="str">
        <f t="shared" ref="CG10:CG35" si="38">IF(ISNUMBER(CH10),RANK($CH10,$CH$8:$CH$346,1),"")</f>
        <v/>
      </c>
      <c r="CH10" t="e">
        <f t="shared" ref="CH10:CH35" si="39">IF(CI10,IF(ISNUMBER(BO10),BO10,100000)+CV10/10000+IF(ISNUMBER(BJ10),BJ10,2)/10000-P10/100000+ROW()/10000000,"")</f>
        <v>#N/A</v>
      </c>
      <c r="CI10" t="e">
        <f t="shared" ref="CI10:CI35" si="40">PRODUCT(CJ10:CQ10)</f>
        <v>#N/A</v>
      </c>
      <c r="CJ10" s="6" t="e">
        <f t="shared" si="11"/>
        <v>#N/A</v>
      </c>
      <c r="CK10" s="6">
        <f t="shared" si="12"/>
        <v>1</v>
      </c>
      <c r="CL10" s="6">
        <f t="shared" si="26"/>
        <v>1</v>
      </c>
      <c r="CM10" s="6">
        <f t="shared" si="13"/>
        <v>1</v>
      </c>
      <c r="CN10" s="6">
        <f t="shared" si="14"/>
        <v>1</v>
      </c>
      <c r="CO10" s="6">
        <f t="shared" si="15"/>
        <v>1</v>
      </c>
      <c r="CP10" s="6">
        <f t="shared" si="16"/>
        <v>1</v>
      </c>
      <c r="CQ10" s="6">
        <f t="shared" ref="CQ10:CQ35" si="41">IF(CQ$5="Any",1,IF(AND(CQ$5="Med",AV10=0,SUM(AN10:AQ10)=0),1,IF(AND(CQ$5="Low",AV10=0,SUM(AN10:AQ10)=0,AM10=0),1,IF(AND(CQ$5="Flat",AV10=0,SUM(AN10:AQ10)=0,AM10=0,IFERROR(NOT(BE10="Y"),0)),1,0))))</f>
        <v>1</v>
      </c>
      <c r="CR10" s="81" t="str">
        <f t="shared" si="17"/>
        <v/>
      </c>
      <c r="CS10">
        <f t="shared" ref="CS10:CS35" si="42">CS$5*(12/(MIN(12,Q10))-1)</f>
        <v>0</v>
      </c>
      <c r="CT10">
        <f t="shared" si="19"/>
        <v>200</v>
      </c>
      <c r="CU10" t="str">
        <f t="shared" si="29"/>
        <v/>
      </c>
      <c r="CV10" s="81">
        <f t="shared" ref="CV10:CV35" si="43">CT10*IF(CU10="",1,Q10)</f>
        <v>200</v>
      </c>
      <c r="CW10" s="81">
        <f>(CV10/25)^1.5*(Calculator!$BU$4/10000)*CW$5</f>
        <v>58.426389194959008</v>
      </c>
      <c r="CX10" t="str">
        <f t="shared" ref="CX10:CX35" si="44">"$"&amp;IF(LEFT(CU10,1)="r",CT10&amp;"/"&amp;CU10,CV10)</f>
        <v>$200</v>
      </c>
    </row>
    <row r="11" spans="1:102" x14ac:dyDescent="0.25">
      <c r="B11" s="115" t="s">
        <v>233</v>
      </c>
      <c r="C11" s="13">
        <v>46230.89166666667</v>
      </c>
      <c r="D11">
        <v>31929</v>
      </c>
      <c r="E11" s="54" t="s">
        <v>237</v>
      </c>
      <c r="F11" s="54" t="s">
        <v>965</v>
      </c>
      <c r="G11" s="54" t="s">
        <v>1598</v>
      </c>
      <c r="H11" s="55">
        <v>13.4</v>
      </c>
      <c r="I11" s="55">
        <v>12.5</v>
      </c>
      <c r="J11" s="55">
        <v>12</v>
      </c>
      <c r="K11" s="54"/>
      <c r="L11" s="56" t="b">
        <v>0</v>
      </c>
      <c r="M11" s="56" t="b">
        <v>0</v>
      </c>
      <c r="N11" s="54">
        <v>1</v>
      </c>
      <c r="O11" s="54" t="s">
        <v>228</v>
      </c>
      <c r="P11" s="54">
        <v>25</v>
      </c>
      <c r="Q11" s="54">
        <v>12</v>
      </c>
      <c r="R11" s="54">
        <v>200</v>
      </c>
      <c r="S11" s="54" t="s">
        <v>1599</v>
      </c>
      <c r="T11" s="54" t="s">
        <v>1600</v>
      </c>
      <c r="U11" s="54" t="s">
        <v>1596</v>
      </c>
      <c r="V11" s="54" t="s">
        <v>1601</v>
      </c>
      <c r="W11" s="54" t="b">
        <v>0</v>
      </c>
      <c r="X11" s="54"/>
      <c r="Y11" s="57" t="s">
        <v>1605</v>
      </c>
      <c r="Z11" s="54" t="s">
        <v>1603</v>
      </c>
      <c r="AA11" s="54"/>
      <c r="AB11" s="54" t="s">
        <v>1604</v>
      </c>
      <c r="AC11" s="56" t="b">
        <v>1</v>
      </c>
      <c r="AD11" s="56" t="b">
        <v>0</v>
      </c>
      <c r="AE11" s="54" t="s">
        <v>303</v>
      </c>
      <c r="AF11" s="58">
        <v>46230</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5.4600000000000003E-2</v>
      </c>
      <c r="BC11" s="60">
        <v>4.0599999999999996</v>
      </c>
      <c r="BD11" s="61">
        <v>6.1196E-2</v>
      </c>
      <c r="BE11" s="62" t="s">
        <v>293</v>
      </c>
      <c r="BF11" s="35">
        <f t="shared" si="0"/>
        <v>4.0600000000000005</v>
      </c>
      <c r="BG11" s="35">
        <f t="shared" si="0"/>
        <v>6.0295000000000001E-2</v>
      </c>
      <c r="BH11" s="35" t="str">
        <f t="shared" si="32"/>
        <v>Med</v>
      </c>
      <c r="BI11" s="110">
        <f t="shared" si="33"/>
        <v>0</v>
      </c>
      <c r="BJ11" s="83">
        <f>VLOOKUP($F11,REP_Info!$D$6:$H$250,5,FALSE)</f>
        <v>2.7330000000000001</v>
      </c>
      <c r="BK11" s="30">
        <f t="shared" si="34"/>
        <v>13.301499999999999</v>
      </c>
      <c r="BL11" s="30">
        <f t="shared" si="34"/>
        <v>12.395500000000002</v>
      </c>
      <c r="BM11" s="30">
        <f t="shared" si="34"/>
        <v>11.942500000000003</v>
      </c>
      <c r="BN11" s="29">
        <f t="shared" si="34"/>
        <v>11.791499999999999</v>
      </c>
      <c r="BO11" s="85" t="str">
        <f t="shared" si="2"/>
        <v>$$$</v>
      </c>
      <c r="BP11" s="88" t="str">
        <f t="shared" si="35"/>
        <v>$$$</v>
      </c>
      <c r="BQ11" s="88" t="str">
        <f t="shared" si="4"/>
        <v>$$$</v>
      </c>
      <c r="BR11" s="88" t="str">
        <f t="shared" si="5"/>
        <v>$$$</v>
      </c>
      <c r="BS11" s="29" t="e">
        <f t="shared" si="36"/>
        <v>#N/A</v>
      </c>
      <c r="BT11" s="29" t="e">
        <f t="shared" si="36"/>
        <v>#N/A</v>
      </c>
      <c r="BU11" s="29" t="e">
        <f t="shared" si="36"/>
        <v>#N/A</v>
      </c>
      <c r="BV11" s="29" t="e">
        <f t="shared" si="36"/>
        <v>#N/A</v>
      </c>
      <c r="BW11" s="29" t="e">
        <f t="shared" si="36"/>
        <v>#N/A</v>
      </c>
      <c r="BX11" s="29" t="e">
        <f t="shared" si="36"/>
        <v>#N/A</v>
      </c>
      <c r="BY11" s="29" t="e">
        <f t="shared" si="36"/>
        <v>#N/A</v>
      </c>
      <c r="BZ11" s="29" t="e">
        <f t="shared" si="36"/>
        <v>#N/A</v>
      </c>
      <c r="CA11" s="29" t="e">
        <f t="shared" si="36"/>
        <v>#N/A</v>
      </c>
      <c r="CB11" s="29" t="e">
        <f t="shared" si="36"/>
        <v>#N/A</v>
      </c>
      <c r="CC11" s="29" t="e">
        <f t="shared" si="36"/>
        <v>#N/A</v>
      </c>
      <c r="CD11" s="29" t="e">
        <f t="shared" si="36"/>
        <v>#N/A</v>
      </c>
      <c r="CE11" s="6" t="str">
        <f t="shared" si="37"/>
        <v/>
      </c>
      <c r="CF11" s="27" t="e">
        <f>IF(AND(CI11,NOT(AD11)),LOOKUP(CF$5,{0,750,1500},H11:J11),"")</f>
        <v>#N/A</v>
      </c>
      <c r="CG11" s="6" t="str">
        <f t="shared" si="38"/>
        <v/>
      </c>
      <c r="CH11" t="e">
        <f t="shared" si="39"/>
        <v>#N/A</v>
      </c>
      <c r="CI11" t="e">
        <f t="shared" si="40"/>
        <v>#N/A</v>
      </c>
      <c r="CJ11" s="6" t="e">
        <f t="shared" si="11"/>
        <v>#N/A</v>
      </c>
      <c r="CK11" s="6">
        <f t="shared" si="12"/>
        <v>1</v>
      </c>
      <c r="CL11" s="6">
        <f t="shared" si="26"/>
        <v>1</v>
      </c>
      <c r="CM11" s="6">
        <f t="shared" si="13"/>
        <v>1</v>
      </c>
      <c r="CN11" s="6">
        <f t="shared" si="14"/>
        <v>1</v>
      </c>
      <c r="CO11" s="6">
        <f t="shared" si="15"/>
        <v>1</v>
      </c>
      <c r="CP11" s="6">
        <f t="shared" si="16"/>
        <v>1</v>
      </c>
      <c r="CQ11" s="6">
        <f t="shared" si="41"/>
        <v>1</v>
      </c>
      <c r="CR11" s="81" t="str">
        <f t="shared" si="17"/>
        <v/>
      </c>
      <c r="CS11">
        <f t="shared" si="42"/>
        <v>0</v>
      </c>
      <c r="CT11">
        <f t="shared" si="19"/>
        <v>200</v>
      </c>
      <c r="CU11" t="str">
        <f t="shared" si="29"/>
        <v/>
      </c>
      <c r="CV11" s="81">
        <f t="shared" si="43"/>
        <v>200</v>
      </c>
      <c r="CW11" s="81">
        <f>(CV11/25)^1.5*(Calculator!$BU$4/10000)*CW$5</f>
        <v>58.426389194959008</v>
      </c>
      <c r="CX11" t="str">
        <f t="shared" si="44"/>
        <v>$200</v>
      </c>
    </row>
    <row r="12" spans="1:102" x14ac:dyDescent="0.25">
      <c r="B12" s="115" t="s">
        <v>233</v>
      </c>
      <c r="C12" s="13">
        <v>46230.89166666667</v>
      </c>
      <c r="D12">
        <v>34539</v>
      </c>
      <c r="E12" s="54" t="s">
        <v>235</v>
      </c>
      <c r="F12" s="54" t="s">
        <v>965</v>
      </c>
      <c r="G12" s="54" t="s">
        <v>1606</v>
      </c>
      <c r="H12" s="55">
        <v>12.1</v>
      </c>
      <c r="I12" s="55">
        <v>11.600000000000001</v>
      </c>
      <c r="J12" s="55">
        <v>11.4</v>
      </c>
      <c r="K12" s="54"/>
      <c r="L12" s="56" t="b">
        <v>0</v>
      </c>
      <c r="M12" s="56" t="b">
        <v>0</v>
      </c>
      <c r="N12" s="54">
        <v>1</v>
      </c>
      <c r="O12" s="54" t="s">
        <v>228</v>
      </c>
      <c r="P12" s="54">
        <v>25</v>
      </c>
      <c r="Q12" s="54">
        <v>12</v>
      </c>
      <c r="R12" s="54">
        <v>200</v>
      </c>
      <c r="S12" s="54" t="s">
        <v>1599</v>
      </c>
      <c r="T12" s="54" t="s">
        <v>1600</v>
      </c>
      <c r="U12" s="54" t="s">
        <v>1596</v>
      </c>
      <c r="V12" s="54" t="s">
        <v>1601</v>
      </c>
      <c r="W12" s="54" t="b">
        <v>0</v>
      </c>
      <c r="X12" s="54"/>
      <c r="Y12" s="57" t="s">
        <v>1607</v>
      </c>
      <c r="Z12" s="54" t="s">
        <v>1603</v>
      </c>
      <c r="AA12" s="54"/>
      <c r="AB12" s="54" t="s">
        <v>1604</v>
      </c>
      <c r="AC12" s="56" t="b">
        <v>1</v>
      </c>
      <c r="AD12" s="56" t="b">
        <v>0</v>
      </c>
      <c r="AE12" s="54" t="s">
        <v>303</v>
      </c>
      <c r="AF12" s="58">
        <v>46230</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5.96E-2</v>
      </c>
      <c r="BC12" s="60">
        <v>4.9000000000000004</v>
      </c>
      <c r="BD12" s="61">
        <v>5.1461E-2</v>
      </c>
      <c r="BE12" s="62" t="s">
        <v>293</v>
      </c>
      <c r="BF12" s="35">
        <f t="shared" si="0"/>
        <v>4.9000000000000004</v>
      </c>
      <c r="BG12" s="35">
        <f t="shared" si="0"/>
        <v>5.1461E-2</v>
      </c>
      <c r="BH12" s="35" t="str">
        <f t="shared" si="32"/>
        <v>Low</v>
      </c>
      <c r="BI12" s="110">
        <f t="shared" si="33"/>
        <v>0</v>
      </c>
      <c r="BJ12" s="83">
        <f>VLOOKUP($F12,REP_Info!$D$6:$H$250,5,FALSE)</f>
        <v>2.7330000000000001</v>
      </c>
      <c r="BK12" s="30">
        <f t="shared" si="34"/>
        <v>12.0861</v>
      </c>
      <c r="BL12" s="30">
        <f t="shared" si="34"/>
        <v>11.5961</v>
      </c>
      <c r="BM12" s="30">
        <f t="shared" si="34"/>
        <v>11.351100000000001</v>
      </c>
      <c r="BN12" s="29">
        <f t="shared" si="34"/>
        <v>11.269433333333334</v>
      </c>
      <c r="BO12" s="85" t="str">
        <f t="shared" si="2"/>
        <v>$$$</v>
      </c>
      <c r="BP12" s="88" t="str">
        <f t="shared" si="35"/>
        <v>$$$</v>
      </c>
      <c r="BQ12" s="88" t="str">
        <f t="shared" si="4"/>
        <v>$$$</v>
      </c>
      <c r="BR12" s="88" t="str">
        <f t="shared" si="5"/>
        <v>$$$</v>
      </c>
      <c r="BS12" s="29" t="e">
        <f t="shared" si="36"/>
        <v>#N/A</v>
      </c>
      <c r="BT12" s="29" t="e">
        <f t="shared" si="36"/>
        <v>#N/A</v>
      </c>
      <c r="BU12" s="29" t="e">
        <f t="shared" si="36"/>
        <v>#N/A</v>
      </c>
      <c r="BV12" s="29" t="e">
        <f t="shared" si="36"/>
        <v>#N/A</v>
      </c>
      <c r="BW12" s="29" t="e">
        <f t="shared" si="36"/>
        <v>#N/A</v>
      </c>
      <c r="BX12" s="29" t="e">
        <f t="shared" si="36"/>
        <v>#N/A</v>
      </c>
      <c r="BY12" s="29" t="e">
        <f t="shared" si="36"/>
        <v>#N/A</v>
      </c>
      <c r="BZ12" s="29" t="e">
        <f t="shared" si="36"/>
        <v>#N/A</v>
      </c>
      <c r="CA12" s="29" t="e">
        <f t="shared" si="36"/>
        <v>#N/A</v>
      </c>
      <c r="CB12" s="29" t="e">
        <f t="shared" si="36"/>
        <v>#N/A</v>
      </c>
      <c r="CC12" s="29" t="e">
        <f t="shared" si="36"/>
        <v>#N/A</v>
      </c>
      <c r="CD12" s="29" t="e">
        <f t="shared" si="36"/>
        <v>#N/A</v>
      </c>
      <c r="CE12" s="6" t="str">
        <f t="shared" si="37"/>
        <v/>
      </c>
      <c r="CF12" s="27" t="e">
        <f>IF(AND(CI12,NOT(AD12)),LOOKUP(CF$5,{0,750,1500},H12:J12),"")</f>
        <v>#N/A</v>
      </c>
      <c r="CG12" s="6" t="str">
        <f t="shared" si="38"/>
        <v/>
      </c>
      <c r="CH12" t="e">
        <f t="shared" si="39"/>
        <v>#N/A</v>
      </c>
      <c r="CI12" t="e">
        <f t="shared" si="40"/>
        <v>#N/A</v>
      </c>
      <c r="CJ12" s="6" t="e">
        <f t="shared" si="11"/>
        <v>#N/A</v>
      </c>
      <c r="CK12" s="6">
        <f t="shared" si="12"/>
        <v>1</v>
      </c>
      <c r="CL12" s="6">
        <f t="shared" si="26"/>
        <v>1</v>
      </c>
      <c r="CM12" s="6">
        <f t="shared" si="13"/>
        <v>1</v>
      </c>
      <c r="CN12" s="6">
        <f t="shared" si="14"/>
        <v>1</v>
      </c>
      <c r="CO12" s="6">
        <f t="shared" si="15"/>
        <v>1</v>
      </c>
      <c r="CP12" s="6">
        <f t="shared" si="16"/>
        <v>1</v>
      </c>
      <c r="CQ12" s="6">
        <f t="shared" si="41"/>
        <v>1</v>
      </c>
      <c r="CR12" s="81" t="str">
        <f t="shared" si="17"/>
        <v/>
      </c>
      <c r="CS12">
        <f t="shared" si="42"/>
        <v>0</v>
      </c>
      <c r="CT12">
        <f t="shared" si="19"/>
        <v>200</v>
      </c>
      <c r="CU12" t="str">
        <f t="shared" si="29"/>
        <v/>
      </c>
      <c r="CV12" s="81">
        <f t="shared" si="43"/>
        <v>200</v>
      </c>
      <c r="CW12" s="81">
        <f>(CV12/25)^1.5*(Calculator!$BU$4/10000)*CW$5</f>
        <v>58.426389194959008</v>
      </c>
      <c r="CX12" t="str">
        <f t="shared" si="44"/>
        <v>$200</v>
      </c>
    </row>
    <row r="13" spans="1:102" x14ac:dyDescent="0.25">
      <c r="B13" s="115" t="s">
        <v>233</v>
      </c>
      <c r="C13" s="13">
        <v>46230.89166666667</v>
      </c>
      <c r="D13">
        <v>34695</v>
      </c>
      <c r="E13" s="54" t="s">
        <v>237</v>
      </c>
      <c r="F13" s="54" t="s">
        <v>965</v>
      </c>
      <c r="G13" s="54" t="s">
        <v>1606</v>
      </c>
      <c r="H13" s="55">
        <v>12.8</v>
      </c>
      <c r="I13" s="55">
        <v>12.4</v>
      </c>
      <c r="J13" s="55">
        <v>12.2</v>
      </c>
      <c r="K13" s="54"/>
      <c r="L13" s="56" t="b">
        <v>0</v>
      </c>
      <c r="M13" s="56" t="b">
        <v>0</v>
      </c>
      <c r="N13" s="54">
        <v>1</v>
      </c>
      <c r="O13" s="54" t="s">
        <v>228</v>
      </c>
      <c r="P13" s="54">
        <v>25</v>
      </c>
      <c r="Q13" s="54">
        <v>12</v>
      </c>
      <c r="R13" s="54">
        <v>200</v>
      </c>
      <c r="S13" s="54" t="s">
        <v>1599</v>
      </c>
      <c r="T13" s="54" t="s">
        <v>1600</v>
      </c>
      <c r="U13" s="54" t="s">
        <v>1596</v>
      </c>
      <c r="V13" s="54" t="s">
        <v>1601</v>
      </c>
      <c r="W13" s="54" t="b">
        <v>0</v>
      </c>
      <c r="X13" s="54"/>
      <c r="Y13" s="57" t="s">
        <v>1608</v>
      </c>
      <c r="Z13" s="54" t="s">
        <v>1603</v>
      </c>
      <c r="AA13" s="54"/>
      <c r="AB13" s="54" t="s">
        <v>1604</v>
      </c>
      <c r="AC13" s="56" t="b">
        <v>1</v>
      </c>
      <c r="AD13" s="56" t="b">
        <v>0</v>
      </c>
      <c r="AE13" s="54" t="s">
        <v>303</v>
      </c>
      <c r="AF13" s="58">
        <v>46230</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5.8599999999999999E-2</v>
      </c>
      <c r="BC13" s="60">
        <v>4.0599999999999996</v>
      </c>
      <c r="BD13" s="61">
        <v>6.1196E-2</v>
      </c>
      <c r="BE13" s="62" t="s">
        <v>293</v>
      </c>
      <c r="BF13" s="35">
        <f t="shared" ref="BF13:BG35" si="45">IF($E13=$E$4,BF$4,IF($E13=$E$5,BF$5,""))</f>
        <v>4.0600000000000005</v>
      </c>
      <c r="BG13" s="35">
        <f t="shared" si="45"/>
        <v>6.0295000000000001E-2</v>
      </c>
      <c r="BH13" s="35" t="str">
        <f t="shared" si="32"/>
        <v>Low</v>
      </c>
      <c r="BI13" s="110">
        <f t="shared" si="33"/>
        <v>0</v>
      </c>
      <c r="BJ13" s="83">
        <f>VLOOKUP($F13,REP_Info!$D$6:$H$250,5,FALSE)</f>
        <v>2.7330000000000001</v>
      </c>
      <c r="BK13" s="30">
        <f t="shared" si="34"/>
        <v>12.701499999999999</v>
      </c>
      <c r="BL13" s="30">
        <f t="shared" si="34"/>
        <v>12.295500000000002</v>
      </c>
      <c r="BM13" s="30">
        <f t="shared" si="34"/>
        <v>12.092500000000001</v>
      </c>
      <c r="BN13" s="29">
        <f t="shared" si="34"/>
        <v>12.024833333333333</v>
      </c>
      <c r="BO13" s="85" t="str">
        <f t="shared" ref="BO13:BO35" si="46">IFERROR(SUMPRODUCT($BS$7:$CD$7,$BS13:$CD13)/100,"$$$")</f>
        <v>$$$</v>
      </c>
      <c r="BP13" s="88" t="str">
        <f t="shared" si="35"/>
        <v>$$$</v>
      </c>
      <c r="BQ13" s="88" t="str">
        <f t="shared" ref="BQ13:BQ35" si="47">IFERROR(SUMPRODUCT($BS$7:$CD$7,$BS13:$CD13,--($BS$4:$CD$4&lt;=$Q13))/SUMPRODUCT(--($BS$4:$CD$4&lt;=$Q13),$BS$7:$CD$7),"$$$")</f>
        <v>$$$</v>
      </c>
      <c r="BR13" s="88" t="str">
        <f t="shared" ref="BR13:BR35" si="48">IFERROR($BQ13-$BF13*100*SUMPRODUCT(--($BS$4:$CD$4&lt;=$Q13))/SUMPRODUCT(--($BS$4:$CD$4&lt;=$Q13),$BS$7:$CD$7)-$BG13*100,"$$$")</f>
        <v>$$$</v>
      </c>
      <c r="BS13" s="29" t="e">
        <f t="shared" si="36"/>
        <v>#N/A</v>
      </c>
      <c r="BT13" s="29" t="e">
        <f t="shared" si="36"/>
        <v>#N/A</v>
      </c>
      <c r="BU13" s="29" t="e">
        <f t="shared" si="36"/>
        <v>#N/A</v>
      </c>
      <c r="BV13" s="29" t="e">
        <f t="shared" si="36"/>
        <v>#N/A</v>
      </c>
      <c r="BW13" s="29" t="e">
        <f t="shared" si="36"/>
        <v>#N/A</v>
      </c>
      <c r="BX13" s="29" t="e">
        <f t="shared" si="36"/>
        <v>#N/A</v>
      </c>
      <c r="BY13" s="29" t="e">
        <f t="shared" si="36"/>
        <v>#N/A</v>
      </c>
      <c r="BZ13" s="29" t="e">
        <f t="shared" si="36"/>
        <v>#N/A</v>
      </c>
      <c r="CA13" s="29" t="e">
        <f t="shared" si="36"/>
        <v>#N/A</v>
      </c>
      <c r="CB13" s="29" t="e">
        <f t="shared" si="36"/>
        <v>#N/A</v>
      </c>
      <c r="CC13" s="29" t="e">
        <f t="shared" si="36"/>
        <v>#N/A</v>
      </c>
      <c r="CD13" s="29" t="e">
        <f t="shared" si="36"/>
        <v>#N/A</v>
      </c>
      <c r="CE13" s="6" t="str">
        <f t="shared" si="37"/>
        <v/>
      </c>
      <c r="CF13" s="27" t="e">
        <f>IF(AND(CI13,NOT(AD13)),LOOKUP(CF$5,{0,750,1500},H13:J13),"")</f>
        <v>#N/A</v>
      </c>
      <c r="CG13" s="6" t="str">
        <f t="shared" si="38"/>
        <v/>
      </c>
      <c r="CH13" t="e">
        <f t="shared" si="39"/>
        <v>#N/A</v>
      </c>
      <c r="CI13" t="e">
        <f t="shared" si="40"/>
        <v>#N/A</v>
      </c>
      <c r="CJ13" s="6" t="e">
        <f t="shared" ref="CJ13:CJ35" si="49">IF($E13=CJ$5,1,0)</f>
        <v>#N/A</v>
      </c>
      <c r="CK13" s="6">
        <f t="shared" ref="CK13:CK35" si="50">IF(CK$5="[Any]",1,IF($F13=CK$5,1,0))</f>
        <v>1</v>
      </c>
      <c r="CL13" s="6">
        <f t="shared" ref="CL13:CL35" si="51">IFERROR(--OR(ISBLANK(CL$5),$BJ13="",AND(ISNUMBER($BJ13),$BJ13&lt;=CL$5)),1)</f>
        <v>1</v>
      </c>
      <c r="CM13" s="6">
        <f t="shared" ref="CM13:CM35" si="52">IF($O13="Fixed",1,0)</f>
        <v>1</v>
      </c>
      <c r="CN13" s="6">
        <f t="shared" ref="CN13:CN35" si="53">IF($Q13&gt;=CN$5,1,0)</f>
        <v>1</v>
      </c>
      <c r="CO13" s="6">
        <f t="shared" ref="CO13:CO35" si="54">IF($Q13&lt;=CO$5,1,0)</f>
        <v>1</v>
      </c>
      <c r="CP13" s="6">
        <f t="shared" ref="CP13:CP35" si="55">IF($P13&gt;=CP$5,1,0)</f>
        <v>1</v>
      </c>
      <c r="CQ13" s="6">
        <f t="shared" si="41"/>
        <v>1</v>
      </c>
      <c r="CR13" s="81" t="str">
        <f t="shared" ref="CR13:CR35" si="56">IF(ISNUMBER($CH13),$CH13+$CS13+$CW13,"")</f>
        <v/>
      </c>
      <c r="CS13">
        <f t="shared" si="42"/>
        <v>0</v>
      </c>
      <c r="CT13">
        <f t="shared" si="19"/>
        <v>200</v>
      </c>
      <c r="CU13" t="str">
        <f t="shared" ref="CU13:CU35" si="57">IF(AND(ISERR(FIND("remain",$R13)),ISERR(FIND("left",$R13))),"","r")&amp;IF(ISERR(FIND("mon",$R13)),"","m")</f>
        <v/>
      </c>
      <c r="CV13" s="81">
        <f t="shared" si="43"/>
        <v>200</v>
      </c>
      <c r="CW13" s="81">
        <f>(CV13/25)^1.5*(Calculator!$BU$4/10000)*CW$5</f>
        <v>58.426389194959008</v>
      </c>
      <c r="CX13" t="str">
        <f t="shared" si="44"/>
        <v>$200</v>
      </c>
    </row>
    <row r="14" spans="1:102" x14ac:dyDescent="0.25">
      <c r="B14" s="115" t="s">
        <v>233</v>
      </c>
      <c r="C14" s="13">
        <v>46230.89166666667</v>
      </c>
      <c r="D14">
        <v>35308</v>
      </c>
      <c r="E14" s="54" t="s">
        <v>235</v>
      </c>
      <c r="F14" s="54" t="s">
        <v>965</v>
      </c>
      <c r="G14" s="54" t="s">
        <v>1609</v>
      </c>
      <c r="H14" s="55">
        <v>13.200000000000001</v>
      </c>
      <c r="I14" s="55">
        <v>12.2</v>
      </c>
      <c r="J14" s="55">
        <v>11.700000000000001</v>
      </c>
      <c r="K14" s="54"/>
      <c r="L14" s="56" t="b">
        <v>0</v>
      </c>
      <c r="M14" s="56" t="b">
        <v>0</v>
      </c>
      <c r="N14" s="54">
        <v>1</v>
      </c>
      <c r="O14" s="54" t="s">
        <v>228</v>
      </c>
      <c r="P14" s="54">
        <v>100</v>
      </c>
      <c r="Q14" s="54">
        <v>12</v>
      </c>
      <c r="R14" s="54">
        <v>200</v>
      </c>
      <c r="S14" s="54" t="s">
        <v>1599</v>
      </c>
      <c r="T14" s="54" t="s">
        <v>1600</v>
      </c>
      <c r="U14" s="54" t="s">
        <v>1596</v>
      </c>
      <c r="V14" s="54" t="s">
        <v>1601</v>
      </c>
      <c r="W14" s="54" t="b">
        <v>0</v>
      </c>
      <c r="X14" s="54"/>
      <c r="Y14" s="57" t="s">
        <v>1610</v>
      </c>
      <c r="Z14" s="54" t="s">
        <v>1603</v>
      </c>
      <c r="AA14" s="54"/>
      <c r="AB14" s="54" t="s">
        <v>1604</v>
      </c>
      <c r="AC14" s="56" t="b">
        <v>1</v>
      </c>
      <c r="AD14" s="56" t="b">
        <v>0</v>
      </c>
      <c r="AE14" s="54" t="s">
        <v>303</v>
      </c>
      <c r="AF14" s="58">
        <v>46230</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6.0600000000000001E-2</v>
      </c>
      <c r="BC14" s="60">
        <v>4.9000000000000004</v>
      </c>
      <c r="BD14" s="61">
        <v>5.1461E-2</v>
      </c>
      <c r="BE14" s="62" t="s">
        <v>293</v>
      </c>
      <c r="BF14" s="35">
        <f t="shared" si="45"/>
        <v>4.9000000000000004</v>
      </c>
      <c r="BG14" s="35">
        <f t="shared" si="45"/>
        <v>5.1461E-2</v>
      </c>
      <c r="BH14" s="35" t="str">
        <f t="shared" si="32"/>
        <v>Med</v>
      </c>
      <c r="BI14" s="110">
        <f t="shared" si="33"/>
        <v>0</v>
      </c>
      <c r="BJ14" s="83">
        <f>VLOOKUP($F14,REP_Info!$D$6:$H$250,5,FALSE)</f>
        <v>2.7330000000000001</v>
      </c>
      <c r="BK14" s="30">
        <f t="shared" si="34"/>
        <v>13.186099999999998</v>
      </c>
      <c r="BL14" s="30">
        <f t="shared" si="34"/>
        <v>12.196099999999999</v>
      </c>
      <c r="BM14" s="30">
        <f t="shared" si="34"/>
        <v>11.7011</v>
      </c>
      <c r="BN14" s="29">
        <f t="shared" si="34"/>
        <v>11.536100000000001</v>
      </c>
      <c r="BO14" s="85" t="str">
        <f t="shared" si="46"/>
        <v>$$$</v>
      </c>
      <c r="BP14" s="88" t="str">
        <f t="shared" si="35"/>
        <v>$$$</v>
      </c>
      <c r="BQ14" s="88" t="str">
        <f t="shared" si="47"/>
        <v>$$$</v>
      </c>
      <c r="BR14" s="88" t="str">
        <f t="shared" si="48"/>
        <v>$$$</v>
      </c>
      <c r="BS14" s="29" t="e">
        <f t="shared" si="36"/>
        <v>#N/A</v>
      </c>
      <c r="BT14" s="29" t="e">
        <f t="shared" si="36"/>
        <v>#N/A</v>
      </c>
      <c r="BU14" s="29" t="e">
        <f t="shared" si="36"/>
        <v>#N/A</v>
      </c>
      <c r="BV14" s="29" t="e">
        <f t="shared" si="36"/>
        <v>#N/A</v>
      </c>
      <c r="BW14" s="29" t="e">
        <f t="shared" si="36"/>
        <v>#N/A</v>
      </c>
      <c r="BX14" s="29" t="e">
        <f t="shared" si="36"/>
        <v>#N/A</v>
      </c>
      <c r="BY14" s="29" t="e">
        <f t="shared" si="36"/>
        <v>#N/A</v>
      </c>
      <c r="BZ14" s="29" t="e">
        <f t="shared" si="36"/>
        <v>#N/A</v>
      </c>
      <c r="CA14" s="29" t="e">
        <f t="shared" si="36"/>
        <v>#N/A</v>
      </c>
      <c r="CB14" s="29" t="e">
        <f t="shared" si="36"/>
        <v>#N/A</v>
      </c>
      <c r="CC14" s="29" t="e">
        <f t="shared" si="36"/>
        <v>#N/A</v>
      </c>
      <c r="CD14" s="29" t="e">
        <f t="shared" si="36"/>
        <v>#N/A</v>
      </c>
      <c r="CE14" s="6" t="str">
        <f t="shared" si="37"/>
        <v/>
      </c>
      <c r="CF14" s="27" t="e">
        <f>IF(AND(CI14,NOT(AD14)),LOOKUP(CF$5,{0,750,1500},H14:J14),"")</f>
        <v>#N/A</v>
      </c>
      <c r="CG14" s="6" t="str">
        <f t="shared" si="38"/>
        <v/>
      </c>
      <c r="CH14" t="e">
        <f t="shared" si="39"/>
        <v>#N/A</v>
      </c>
      <c r="CI14" t="e">
        <f t="shared" si="40"/>
        <v>#N/A</v>
      </c>
      <c r="CJ14" s="6" t="e">
        <f t="shared" si="49"/>
        <v>#N/A</v>
      </c>
      <c r="CK14" s="6">
        <f t="shared" si="50"/>
        <v>1</v>
      </c>
      <c r="CL14" s="6">
        <f t="shared" si="51"/>
        <v>1</v>
      </c>
      <c r="CM14" s="6">
        <f t="shared" si="52"/>
        <v>1</v>
      </c>
      <c r="CN14" s="6">
        <f t="shared" si="53"/>
        <v>1</v>
      </c>
      <c r="CO14" s="6">
        <f t="shared" si="54"/>
        <v>1</v>
      </c>
      <c r="CP14" s="6">
        <f t="shared" si="55"/>
        <v>1</v>
      </c>
      <c r="CQ14" s="6">
        <f t="shared" si="41"/>
        <v>1</v>
      </c>
      <c r="CR14" s="81" t="str">
        <f t="shared" si="56"/>
        <v/>
      </c>
      <c r="CS14">
        <f t="shared" si="42"/>
        <v>0</v>
      </c>
      <c r="CT14">
        <f t="shared" si="19"/>
        <v>200</v>
      </c>
      <c r="CU14" t="str">
        <f t="shared" si="57"/>
        <v/>
      </c>
      <c r="CV14" s="81">
        <f t="shared" si="43"/>
        <v>200</v>
      </c>
      <c r="CW14" s="81">
        <f>(CV14/25)^1.5*(Calculator!$BU$4/10000)*CW$5</f>
        <v>58.426389194959008</v>
      </c>
      <c r="CX14" t="str">
        <f t="shared" si="44"/>
        <v>$200</v>
      </c>
    </row>
    <row r="15" spans="1:102" x14ac:dyDescent="0.25">
      <c r="B15" s="115" t="s">
        <v>233</v>
      </c>
      <c r="C15" s="13">
        <v>46230.89166666667</v>
      </c>
      <c r="D15">
        <v>35310</v>
      </c>
      <c r="E15" s="54" t="s">
        <v>237</v>
      </c>
      <c r="F15" s="54" t="s">
        <v>965</v>
      </c>
      <c r="G15" s="54" t="s">
        <v>1609</v>
      </c>
      <c r="H15" s="55">
        <v>13.900000000000002</v>
      </c>
      <c r="I15" s="55">
        <v>13</v>
      </c>
      <c r="J15" s="55">
        <v>12.5</v>
      </c>
      <c r="K15" s="54"/>
      <c r="L15" s="56" t="b">
        <v>0</v>
      </c>
      <c r="M15" s="56" t="b">
        <v>0</v>
      </c>
      <c r="N15" s="54">
        <v>1</v>
      </c>
      <c r="O15" s="54" t="s">
        <v>228</v>
      </c>
      <c r="P15" s="54">
        <v>100</v>
      </c>
      <c r="Q15" s="54">
        <v>12</v>
      </c>
      <c r="R15" s="54">
        <v>200</v>
      </c>
      <c r="S15" s="54" t="s">
        <v>1599</v>
      </c>
      <c r="T15" s="54" t="s">
        <v>1600</v>
      </c>
      <c r="U15" s="54" t="s">
        <v>1596</v>
      </c>
      <c r="V15" s="54" t="s">
        <v>1601</v>
      </c>
      <c r="W15" s="54" t="b">
        <v>0</v>
      </c>
      <c r="X15" s="54"/>
      <c r="Y15" s="57" t="s">
        <v>1611</v>
      </c>
      <c r="Z15" s="54" t="s">
        <v>1603</v>
      </c>
      <c r="AA15" s="54"/>
      <c r="AB15" s="54" t="s">
        <v>1604</v>
      </c>
      <c r="AC15" s="56" t="b">
        <v>1</v>
      </c>
      <c r="AD15" s="56" t="b">
        <v>0</v>
      </c>
      <c r="AE15" s="54" t="s">
        <v>303</v>
      </c>
      <c r="AF15" s="58">
        <v>46230</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5.96E-2</v>
      </c>
      <c r="BC15" s="60">
        <v>4.0599999999999996</v>
      </c>
      <c r="BD15" s="61">
        <v>6.1196E-2</v>
      </c>
      <c r="BE15" s="62" t="s">
        <v>293</v>
      </c>
      <c r="BF15" s="35">
        <f t="shared" si="45"/>
        <v>4.0600000000000005</v>
      </c>
      <c r="BG15" s="35">
        <f t="shared" si="45"/>
        <v>6.0295000000000001E-2</v>
      </c>
      <c r="BH15" s="35" t="str">
        <f t="shared" si="32"/>
        <v>Med</v>
      </c>
      <c r="BI15" s="110">
        <f t="shared" si="33"/>
        <v>0</v>
      </c>
      <c r="BJ15" s="83">
        <f>VLOOKUP($F15,REP_Info!$D$6:$H$250,5,FALSE)</f>
        <v>2.7330000000000001</v>
      </c>
      <c r="BK15" s="30">
        <f t="shared" si="34"/>
        <v>13.801499999999999</v>
      </c>
      <c r="BL15" s="30">
        <f t="shared" si="34"/>
        <v>12.895499999999998</v>
      </c>
      <c r="BM15" s="30">
        <f t="shared" si="34"/>
        <v>12.442500000000001</v>
      </c>
      <c r="BN15" s="29">
        <f t="shared" si="34"/>
        <v>12.291499999999999</v>
      </c>
      <c r="BO15" s="85" t="str">
        <f t="shared" si="46"/>
        <v>$$$</v>
      </c>
      <c r="BP15" s="88" t="str">
        <f t="shared" si="35"/>
        <v>$$$</v>
      </c>
      <c r="BQ15" s="88" t="str">
        <f t="shared" si="47"/>
        <v>$$$</v>
      </c>
      <c r="BR15" s="88" t="str">
        <f t="shared" si="48"/>
        <v>$$$</v>
      </c>
      <c r="BS15" s="29" t="e">
        <f t="shared" si="36"/>
        <v>#N/A</v>
      </c>
      <c r="BT15" s="29" t="e">
        <f t="shared" si="36"/>
        <v>#N/A</v>
      </c>
      <c r="BU15" s="29" t="e">
        <f t="shared" si="36"/>
        <v>#N/A</v>
      </c>
      <c r="BV15" s="29" t="e">
        <f t="shared" si="36"/>
        <v>#N/A</v>
      </c>
      <c r="BW15" s="29" t="e">
        <f t="shared" si="36"/>
        <v>#N/A</v>
      </c>
      <c r="BX15" s="29" t="e">
        <f t="shared" si="36"/>
        <v>#N/A</v>
      </c>
      <c r="BY15" s="29" t="e">
        <f t="shared" si="36"/>
        <v>#N/A</v>
      </c>
      <c r="BZ15" s="29" t="e">
        <f t="shared" si="36"/>
        <v>#N/A</v>
      </c>
      <c r="CA15" s="29" t="e">
        <f t="shared" si="36"/>
        <v>#N/A</v>
      </c>
      <c r="CB15" s="29" t="e">
        <f t="shared" si="36"/>
        <v>#N/A</v>
      </c>
      <c r="CC15" s="29" t="e">
        <f t="shared" si="36"/>
        <v>#N/A</v>
      </c>
      <c r="CD15" s="29" t="e">
        <f t="shared" si="36"/>
        <v>#N/A</v>
      </c>
      <c r="CE15" s="6" t="str">
        <f t="shared" si="37"/>
        <v/>
      </c>
      <c r="CF15" s="27" t="e">
        <f>IF(AND(CI15,NOT(AD15)),LOOKUP(CF$5,{0,750,1500},H15:J15),"")</f>
        <v>#N/A</v>
      </c>
      <c r="CG15" s="6" t="str">
        <f t="shared" si="38"/>
        <v/>
      </c>
      <c r="CH15" t="e">
        <f t="shared" si="39"/>
        <v>#N/A</v>
      </c>
      <c r="CI15" t="e">
        <f t="shared" si="40"/>
        <v>#N/A</v>
      </c>
      <c r="CJ15" s="6" t="e">
        <f t="shared" si="49"/>
        <v>#N/A</v>
      </c>
      <c r="CK15" s="6">
        <f t="shared" si="50"/>
        <v>1</v>
      </c>
      <c r="CL15" s="6">
        <f t="shared" si="51"/>
        <v>1</v>
      </c>
      <c r="CM15" s="6">
        <f t="shared" si="52"/>
        <v>1</v>
      </c>
      <c r="CN15" s="6">
        <f t="shared" si="53"/>
        <v>1</v>
      </c>
      <c r="CO15" s="6">
        <f t="shared" si="54"/>
        <v>1</v>
      </c>
      <c r="CP15" s="6">
        <f t="shared" si="55"/>
        <v>1</v>
      </c>
      <c r="CQ15" s="6">
        <f t="shared" si="41"/>
        <v>1</v>
      </c>
      <c r="CR15" s="81" t="str">
        <f t="shared" si="56"/>
        <v/>
      </c>
      <c r="CS15">
        <f t="shared" si="42"/>
        <v>0</v>
      </c>
      <c r="CT15">
        <f t="shared" si="19"/>
        <v>200</v>
      </c>
      <c r="CU15" t="str">
        <f t="shared" si="57"/>
        <v/>
      </c>
      <c r="CV15" s="81">
        <f t="shared" si="43"/>
        <v>200</v>
      </c>
      <c r="CW15" s="81">
        <f>(CV15/25)^1.5*(Calculator!$BU$4/10000)*CW$5</f>
        <v>58.426389194959008</v>
      </c>
      <c r="CX15" t="str">
        <f t="shared" si="44"/>
        <v>$200</v>
      </c>
    </row>
    <row r="16" spans="1:102" x14ac:dyDescent="0.25">
      <c r="B16" s="115" t="s">
        <v>233</v>
      </c>
      <c r="C16" s="13">
        <v>46230.89166666667</v>
      </c>
      <c r="D16">
        <v>34634</v>
      </c>
      <c r="E16" s="54" t="s">
        <v>235</v>
      </c>
      <c r="F16" s="54" t="s">
        <v>294</v>
      </c>
      <c r="G16" s="54" t="s">
        <v>295</v>
      </c>
      <c r="H16" s="55">
        <v>12.5</v>
      </c>
      <c r="I16" s="55">
        <v>12</v>
      </c>
      <c r="J16" s="55">
        <v>11.799999999999999</v>
      </c>
      <c r="K16" s="54"/>
      <c r="L16" s="56" t="b">
        <v>0</v>
      </c>
      <c r="M16" s="56" t="b">
        <v>0</v>
      </c>
      <c r="N16" s="54">
        <v>1</v>
      </c>
      <c r="O16" s="54" t="s">
        <v>228</v>
      </c>
      <c r="P16" s="54">
        <v>23</v>
      </c>
      <c r="Q16" s="54">
        <v>36</v>
      </c>
      <c r="R16" s="54" t="s">
        <v>296</v>
      </c>
      <c r="S16" s="54" t="s">
        <v>297</v>
      </c>
      <c r="T16" s="54" t="s">
        <v>298</v>
      </c>
      <c r="U16" s="54" t="s">
        <v>299</v>
      </c>
      <c r="V16" s="54" t="s">
        <v>300</v>
      </c>
      <c r="W16" s="54" t="b">
        <v>0</v>
      </c>
      <c r="X16" s="54"/>
      <c r="Y16" s="57" t="s">
        <v>301</v>
      </c>
      <c r="Z16" s="54" t="s">
        <v>297</v>
      </c>
      <c r="AA16" s="54"/>
      <c r="AB16" s="54" t="s">
        <v>302</v>
      </c>
      <c r="AC16" s="56" t="b">
        <v>1</v>
      </c>
      <c r="AD16" s="56" t="b">
        <v>0</v>
      </c>
      <c r="AE16" s="54" t="s">
        <v>303</v>
      </c>
      <c r="AF16" s="58">
        <v>46230</v>
      </c>
      <c r="AG16" s="62" t="s">
        <v>293</v>
      </c>
      <c r="AH16" s="54">
        <v>0</v>
      </c>
      <c r="AI16" s="54"/>
      <c r="AJ16" s="54"/>
      <c r="AK16" s="54"/>
      <c r="AL16" s="54"/>
      <c r="AM16" s="54">
        <v>0</v>
      </c>
      <c r="AN16" s="54"/>
      <c r="AO16" s="54"/>
      <c r="AP16" s="54"/>
      <c r="AQ16" s="54"/>
      <c r="AR16" s="54"/>
      <c r="AS16" s="54"/>
      <c r="AT16" s="54"/>
      <c r="AU16" s="54"/>
      <c r="AV16" s="54"/>
      <c r="AW16" s="54"/>
      <c r="AX16" s="59"/>
      <c r="AY16" s="59"/>
      <c r="AZ16" s="59"/>
      <c r="BA16" s="59"/>
      <c r="BB16" s="59">
        <v>6.3899999999999998E-2</v>
      </c>
      <c r="BC16" s="60">
        <v>4.9000000000000004</v>
      </c>
      <c r="BD16" s="61">
        <v>5.1461E-2</v>
      </c>
      <c r="BE16" s="62" t="s">
        <v>293</v>
      </c>
      <c r="BF16" s="35">
        <f t="shared" si="45"/>
        <v>4.9000000000000004</v>
      </c>
      <c r="BG16" s="35">
        <f t="shared" si="45"/>
        <v>5.1461E-2</v>
      </c>
      <c r="BH16" s="35" t="str">
        <f t="shared" si="32"/>
        <v>Low</v>
      </c>
      <c r="BI16" s="110">
        <f t="shared" si="33"/>
        <v>0</v>
      </c>
      <c r="BJ16" s="83" t="str">
        <f>VLOOKUP($F16,REP_Info!$D$6:$H$250,5,FALSE)</f>
        <v/>
      </c>
      <c r="BK16" s="30">
        <f t="shared" si="34"/>
        <v>12.5161</v>
      </c>
      <c r="BL16" s="30">
        <f t="shared" si="34"/>
        <v>12.0261</v>
      </c>
      <c r="BM16" s="30">
        <f t="shared" si="34"/>
        <v>11.781099999999999</v>
      </c>
      <c r="BN16" s="29">
        <f t="shared" si="34"/>
        <v>11.699433333333335</v>
      </c>
      <c r="BO16" s="85" t="str">
        <f t="shared" si="46"/>
        <v>$$$</v>
      </c>
      <c r="BP16" s="88" t="str">
        <f t="shared" si="35"/>
        <v>$$$</v>
      </c>
      <c r="BQ16" s="88" t="str">
        <f t="shared" si="47"/>
        <v>$$$</v>
      </c>
      <c r="BR16" s="88" t="str">
        <f t="shared" si="48"/>
        <v>$$$</v>
      </c>
      <c r="BS16" s="29" t="e">
        <f t="shared" si="36"/>
        <v>#N/A</v>
      </c>
      <c r="BT16" s="29" t="e">
        <f t="shared" si="36"/>
        <v>#N/A</v>
      </c>
      <c r="BU16" s="29" t="e">
        <f t="shared" si="36"/>
        <v>#N/A</v>
      </c>
      <c r="BV16" s="29" t="e">
        <f t="shared" si="36"/>
        <v>#N/A</v>
      </c>
      <c r="BW16" s="29" t="e">
        <f t="shared" si="36"/>
        <v>#N/A</v>
      </c>
      <c r="BX16" s="29" t="e">
        <f t="shared" si="36"/>
        <v>#N/A</v>
      </c>
      <c r="BY16" s="29" t="e">
        <f t="shared" si="36"/>
        <v>#N/A</v>
      </c>
      <c r="BZ16" s="29" t="e">
        <f t="shared" si="36"/>
        <v>#N/A</v>
      </c>
      <c r="CA16" s="29" t="e">
        <f t="shared" si="36"/>
        <v>#N/A</v>
      </c>
      <c r="CB16" s="29" t="e">
        <f t="shared" si="36"/>
        <v>#N/A</v>
      </c>
      <c r="CC16" s="29" t="e">
        <f t="shared" si="36"/>
        <v>#N/A</v>
      </c>
      <c r="CD16" s="29" t="e">
        <f t="shared" si="36"/>
        <v>#N/A</v>
      </c>
      <c r="CE16" s="6" t="str">
        <f t="shared" si="37"/>
        <v/>
      </c>
      <c r="CF16" s="27" t="e">
        <f>IF(AND(CI16,NOT(AD16)),LOOKUP(CF$5,{0,750,1500},H16:J16),"")</f>
        <v>#N/A</v>
      </c>
      <c r="CG16" s="6" t="str">
        <f t="shared" si="38"/>
        <v/>
      </c>
      <c r="CH16" t="e">
        <f t="shared" si="39"/>
        <v>#N/A</v>
      </c>
      <c r="CI16" t="e">
        <f t="shared" si="40"/>
        <v>#N/A</v>
      </c>
      <c r="CJ16" s="6" t="e">
        <f t="shared" si="49"/>
        <v>#N/A</v>
      </c>
      <c r="CK16" s="6">
        <f t="shared" si="50"/>
        <v>1</v>
      </c>
      <c r="CL16" s="6">
        <f t="shared" si="51"/>
        <v>1</v>
      </c>
      <c r="CM16" s="6">
        <f t="shared" si="52"/>
        <v>1</v>
      </c>
      <c r="CN16" s="6">
        <f t="shared" si="53"/>
        <v>1</v>
      </c>
      <c r="CO16" s="6">
        <f t="shared" si="54"/>
        <v>0</v>
      </c>
      <c r="CP16" s="6">
        <f t="shared" si="55"/>
        <v>1</v>
      </c>
      <c r="CQ16" s="6">
        <f t="shared" si="41"/>
        <v>1</v>
      </c>
      <c r="CR16" s="81" t="str">
        <f t="shared" si="56"/>
        <v/>
      </c>
      <c r="CS16">
        <f t="shared" si="42"/>
        <v>0</v>
      </c>
      <c r="CT16">
        <f t="shared" ref="CT16:CT35" si="58">IF(OR(LEFT($R16,2)="No",LEFT($R16,4)="Batt"),0,VALUE(IFERROR(LEFT($R16,FIND("/",$R16)-1),IFERROR(LEFT($R16,FIND(" ",$R16)-1),$R16))))</f>
        <v>20</v>
      </c>
      <c r="CU16" t="str">
        <f t="shared" si="57"/>
        <v>rm</v>
      </c>
      <c r="CV16" s="81">
        <f t="shared" si="43"/>
        <v>720</v>
      </c>
      <c r="CW16" s="81">
        <f>(CV16/25)^1.5*(Calculator!$BU$4/10000)*CW$5</f>
        <v>399.08260508152779</v>
      </c>
      <c r="CX16" t="str">
        <f t="shared" si="44"/>
        <v>$20/rm</v>
      </c>
    </row>
    <row r="17" spans="2:102" x14ac:dyDescent="0.25">
      <c r="B17" s="115" t="s">
        <v>233</v>
      </c>
      <c r="C17" s="13">
        <v>46237.767361111109</v>
      </c>
      <c r="D17">
        <v>34636</v>
      </c>
      <c r="E17" s="54" t="s">
        <v>237</v>
      </c>
      <c r="F17" s="54" t="s">
        <v>294</v>
      </c>
      <c r="G17" s="54" t="s">
        <v>295</v>
      </c>
      <c r="H17" s="55">
        <v>13.200000000000001</v>
      </c>
      <c r="I17" s="55">
        <v>12.8</v>
      </c>
      <c r="J17" s="55">
        <v>12.6</v>
      </c>
      <c r="K17" s="54"/>
      <c r="L17" s="56" t="b">
        <v>0</v>
      </c>
      <c r="M17" s="56" t="b">
        <v>0</v>
      </c>
      <c r="N17" s="54">
        <v>1</v>
      </c>
      <c r="O17" s="54" t="s">
        <v>228</v>
      </c>
      <c r="P17" s="54">
        <v>23</v>
      </c>
      <c r="Q17" s="54">
        <v>36</v>
      </c>
      <c r="R17" s="54" t="s">
        <v>296</v>
      </c>
      <c r="S17" s="54" t="s">
        <v>297</v>
      </c>
      <c r="T17" s="54" t="s">
        <v>298</v>
      </c>
      <c r="U17" s="54" t="s">
        <v>299</v>
      </c>
      <c r="V17" s="54" t="s">
        <v>300</v>
      </c>
      <c r="W17" s="54" t="b">
        <v>0</v>
      </c>
      <c r="X17" s="54"/>
      <c r="Y17" s="57" t="s">
        <v>304</v>
      </c>
      <c r="Z17" s="54" t="s">
        <v>297</v>
      </c>
      <c r="AA17" s="54"/>
      <c r="AB17" s="54" t="s">
        <v>302</v>
      </c>
      <c r="AC17" s="56" t="b">
        <v>1</v>
      </c>
      <c r="AD17" s="56" t="b">
        <v>0</v>
      </c>
      <c r="AE17" s="54" t="s">
        <v>303</v>
      </c>
      <c r="AF17" s="58">
        <v>46237</v>
      </c>
      <c r="AG17" s="62" t="s">
        <v>293</v>
      </c>
      <c r="AH17" s="54">
        <v>0</v>
      </c>
      <c r="AI17" s="54"/>
      <c r="AJ17" s="54"/>
      <c r="AK17" s="54"/>
      <c r="AL17" s="54"/>
      <c r="AM17" s="54">
        <v>0</v>
      </c>
      <c r="AN17" s="54"/>
      <c r="AO17" s="54"/>
      <c r="AP17" s="54"/>
      <c r="AQ17" s="54"/>
      <c r="AR17" s="54"/>
      <c r="AS17" s="54"/>
      <c r="AT17" s="54"/>
      <c r="AU17" s="54"/>
      <c r="AV17" s="54"/>
      <c r="AW17" s="54"/>
      <c r="AX17" s="59"/>
      <c r="AY17" s="59"/>
      <c r="AZ17" s="59"/>
      <c r="BA17" s="59"/>
      <c r="BB17" s="59">
        <v>6.3899999999999998E-2</v>
      </c>
      <c r="BC17" s="60">
        <v>4.0599999999999996</v>
      </c>
      <c r="BD17" s="61">
        <v>6.0295000000000001E-2</v>
      </c>
      <c r="BE17" s="62" t="s">
        <v>293</v>
      </c>
      <c r="BF17" s="35">
        <f t="shared" si="45"/>
        <v>4.0600000000000005</v>
      </c>
      <c r="BG17" s="35">
        <f t="shared" si="45"/>
        <v>6.0295000000000001E-2</v>
      </c>
      <c r="BH17" s="35" t="str">
        <f t="shared" si="32"/>
        <v>Low</v>
      </c>
      <c r="BI17" s="110">
        <f t="shared" si="33"/>
        <v>0</v>
      </c>
      <c r="BJ17" s="83" t="str">
        <f>VLOOKUP($F17,REP_Info!$D$6:$H$250,5,FALSE)</f>
        <v/>
      </c>
      <c r="BK17" s="30">
        <f t="shared" si="34"/>
        <v>13.2315</v>
      </c>
      <c r="BL17" s="30">
        <f t="shared" si="34"/>
        <v>12.8255</v>
      </c>
      <c r="BM17" s="30">
        <f t="shared" si="34"/>
        <v>12.6225</v>
      </c>
      <c r="BN17" s="29">
        <f t="shared" si="34"/>
        <v>12.554833333333333</v>
      </c>
      <c r="BO17" s="85" t="str">
        <f t="shared" si="46"/>
        <v>$$$</v>
      </c>
      <c r="BP17" s="88" t="str">
        <f t="shared" si="35"/>
        <v>$$$</v>
      </c>
      <c r="BQ17" s="88" t="str">
        <f t="shared" si="47"/>
        <v>$$$</v>
      </c>
      <c r="BR17" s="88" t="str">
        <f t="shared" si="48"/>
        <v>$$$</v>
      </c>
      <c r="BS17" s="29" t="e">
        <f t="shared" si="36"/>
        <v>#N/A</v>
      </c>
      <c r="BT17" s="29" t="e">
        <f t="shared" si="36"/>
        <v>#N/A</v>
      </c>
      <c r="BU17" s="29" t="e">
        <f t="shared" si="36"/>
        <v>#N/A</v>
      </c>
      <c r="BV17" s="29" t="e">
        <f t="shared" si="36"/>
        <v>#N/A</v>
      </c>
      <c r="BW17" s="29" t="e">
        <f t="shared" si="36"/>
        <v>#N/A</v>
      </c>
      <c r="BX17" s="29" t="e">
        <f t="shared" si="36"/>
        <v>#N/A</v>
      </c>
      <c r="BY17" s="29" t="e">
        <f t="shared" si="36"/>
        <v>#N/A</v>
      </c>
      <c r="BZ17" s="29" t="e">
        <f t="shared" si="36"/>
        <v>#N/A</v>
      </c>
      <c r="CA17" s="29" t="e">
        <f t="shared" si="36"/>
        <v>#N/A</v>
      </c>
      <c r="CB17" s="29" t="e">
        <f t="shared" si="36"/>
        <v>#N/A</v>
      </c>
      <c r="CC17" s="29" t="e">
        <f t="shared" si="36"/>
        <v>#N/A</v>
      </c>
      <c r="CD17" s="29" t="e">
        <f t="shared" si="36"/>
        <v>#N/A</v>
      </c>
      <c r="CE17" s="6" t="str">
        <f t="shared" si="37"/>
        <v/>
      </c>
      <c r="CF17" s="27" t="e">
        <f>IF(AND(CI17,NOT(AD17)),LOOKUP(CF$5,{0,750,1500},H17:J17),"")</f>
        <v>#N/A</v>
      </c>
      <c r="CG17" s="6" t="str">
        <f t="shared" si="38"/>
        <v/>
      </c>
      <c r="CH17" t="e">
        <f t="shared" si="39"/>
        <v>#N/A</v>
      </c>
      <c r="CI17" t="e">
        <f t="shared" si="40"/>
        <v>#N/A</v>
      </c>
      <c r="CJ17" s="6" t="e">
        <f t="shared" si="49"/>
        <v>#N/A</v>
      </c>
      <c r="CK17" s="6">
        <f t="shared" si="50"/>
        <v>1</v>
      </c>
      <c r="CL17" s="6">
        <f t="shared" si="51"/>
        <v>1</v>
      </c>
      <c r="CM17" s="6">
        <f t="shared" si="52"/>
        <v>1</v>
      </c>
      <c r="CN17" s="6">
        <f t="shared" si="53"/>
        <v>1</v>
      </c>
      <c r="CO17" s="6">
        <f t="shared" si="54"/>
        <v>0</v>
      </c>
      <c r="CP17" s="6">
        <f t="shared" si="55"/>
        <v>1</v>
      </c>
      <c r="CQ17" s="6">
        <f t="shared" si="41"/>
        <v>1</v>
      </c>
      <c r="CR17" s="81" t="str">
        <f t="shared" si="56"/>
        <v/>
      </c>
      <c r="CS17">
        <f t="shared" si="42"/>
        <v>0</v>
      </c>
      <c r="CT17">
        <f t="shared" si="58"/>
        <v>20</v>
      </c>
      <c r="CU17" t="str">
        <f t="shared" si="57"/>
        <v>rm</v>
      </c>
      <c r="CV17" s="81">
        <f t="shared" si="43"/>
        <v>720</v>
      </c>
      <c r="CW17" s="81">
        <f>(CV17/25)^1.5*(Calculator!$BU$4/10000)*CW$5</f>
        <v>399.08260508152779</v>
      </c>
      <c r="CX17" t="str">
        <f t="shared" si="44"/>
        <v>$20/rm</v>
      </c>
    </row>
    <row r="18" spans="2:102" x14ac:dyDescent="0.25">
      <c r="B18" s="115" t="s">
        <v>233</v>
      </c>
      <c r="C18" s="13">
        <v>46230.89166666667</v>
      </c>
      <c r="D18">
        <v>35654</v>
      </c>
      <c r="E18" s="54" t="s">
        <v>235</v>
      </c>
      <c r="F18" s="54" t="s">
        <v>294</v>
      </c>
      <c r="G18" s="54" t="s">
        <v>1769</v>
      </c>
      <c r="H18" s="55">
        <v>11.600000000000001</v>
      </c>
      <c r="I18" s="55">
        <v>11.1</v>
      </c>
      <c r="J18" s="55">
        <v>10.9</v>
      </c>
      <c r="K18" s="54"/>
      <c r="L18" s="56" t="b">
        <v>0</v>
      </c>
      <c r="M18" s="56" t="b">
        <v>0</v>
      </c>
      <c r="N18" s="54">
        <v>1</v>
      </c>
      <c r="O18" s="54" t="s">
        <v>228</v>
      </c>
      <c r="P18" s="54">
        <v>23</v>
      </c>
      <c r="Q18" s="54">
        <v>10</v>
      </c>
      <c r="R18" s="54" t="s">
        <v>296</v>
      </c>
      <c r="S18" s="54" t="s">
        <v>297</v>
      </c>
      <c r="T18" s="54" t="s">
        <v>298</v>
      </c>
      <c r="U18" s="54" t="s">
        <v>299</v>
      </c>
      <c r="V18" s="54" t="s">
        <v>300</v>
      </c>
      <c r="W18" s="54" t="b">
        <v>0</v>
      </c>
      <c r="X18" s="54"/>
      <c r="Y18" s="57" t="s">
        <v>1770</v>
      </c>
      <c r="Z18" s="54" t="s">
        <v>297</v>
      </c>
      <c r="AA18" s="54"/>
      <c r="AB18" s="54" t="s">
        <v>302</v>
      </c>
      <c r="AC18" s="56" t="b">
        <v>1</v>
      </c>
      <c r="AD18" s="56" t="b">
        <v>0</v>
      </c>
      <c r="AE18" s="54" t="s">
        <v>303</v>
      </c>
      <c r="AF18" s="58">
        <v>46230</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5.4899999999999997E-2</v>
      </c>
      <c r="BC18" s="60">
        <v>4.9000000000000004</v>
      </c>
      <c r="BD18" s="61">
        <v>5.1461E-2</v>
      </c>
      <c r="BE18" s="62" t="s">
        <v>293</v>
      </c>
      <c r="BF18" s="35">
        <f t="shared" si="45"/>
        <v>4.9000000000000004</v>
      </c>
      <c r="BG18" s="35">
        <f t="shared" si="45"/>
        <v>5.1461E-2</v>
      </c>
      <c r="BH18" s="35" t="str">
        <f t="shared" si="32"/>
        <v>Low</v>
      </c>
      <c r="BI18" s="110">
        <f t="shared" si="33"/>
        <v>0</v>
      </c>
      <c r="BJ18" s="83" t="str">
        <f>VLOOKUP($F18,REP_Info!$D$6:$H$250,5,FALSE)</f>
        <v/>
      </c>
      <c r="BK18" s="30">
        <f t="shared" si="34"/>
        <v>11.616100000000001</v>
      </c>
      <c r="BL18" s="30">
        <f t="shared" si="34"/>
        <v>11.126100000000001</v>
      </c>
      <c r="BM18" s="30">
        <f t="shared" si="34"/>
        <v>10.8811</v>
      </c>
      <c r="BN18" s="29">
        <f t="shared" si="34"/>
        <v>10.799433333333333</v>
      </c>
      <c r="BO18" s="85" t="str">
        <f t="shared" si="46"/>
        <v>$$$</v>
      </c>
      <c r="BP18" s="88" t="str">
        <f t="shared" si="35"/>
        <v>$$$</v>
      </c>
      <c r="BQ18" s="88" t="str">
        <f t="shared" si="47"/>
        <v>$$$</v>
      </c>
      <c r="BR18" s="88" t="str">
        <f t="shared" si="48"/>
        <v>$$$</v>
      </c>
      <c r="BS18" s="29" t="e">
        <f t="shared" si="36"/>
        <v>#N/A</v>
      </c>
      <c r="BT18" s="29" t="e">
        <f t="shared" si="36"/>
        <v>#N/A</v>
      </c>
      <c r="BU18" s="29" t="e">
        <f t="shared" si="36"/>
        <v>#N/A</v>
      </c>
      <c r="BV18" s="29" t="e">
        <f t="shared" si="36"/>
        <v>#N/A</v>
      </c>
      <c r="BW18" s="29" t="e">
        <f t="shared" si="36"/>
        <v>#N/A</v>
      </c>
      <c r="BX18" s="29" t="e">
        <f t="shared" si="36"/>
        <v>#N/A</v>
      </c>
      <c r="BY18" s="29" t="e">
        <f t="shared" si="36"/>
        <v>#N/A</v>
      </c>
      <c r="BZ18" s="29" t="e">
        <f t="shared" si="36"/>
        <v>#N/A</v>
      </c>
      <c r="CA18" s="29" t="e">
        <f t="shared" si="36"/>
        <v>#N/A</v>
      </c>
      <c r="CB18" s="29" t="e">
        <f t="shared" si="36"/>
        <v>#N/A</v>
      </c>
      <c r="CC18" s="29" t="e">
        <f t="shared" si="36"/>
        <v>#N/A</v>
      </c>
      <c r="CD18" s="29" t="e">
        <f t="shared" si="36"/>
        <v>#N/A</v>
      </c>
      <c r="CE18" s="6" t="str">
        <f t="shared" si="37"/>
        <v/>
      </c>
      <c r="CF18" s="27" t="e">
        <f>IF(AND(CI18,NOT(AD18)),LOOKUP(CF$5,{0,750,1500},H18:J18),"")</f>
        <v>#N/A</v>
      </c>
      <c r="CG18" s="6" t="str">
        <f t="shared" si="38"/>
        <v/>
      </c>
      <c r="CH18" t="e">
        <f t="shared" si="39"/>
        <v>#N/A</v>
      </c>
      <c r="CI18" t="e">
        <f t="shared" si="40"/>
        <v>#N/A</v>
      </c>
      <c r="CJ18" s="6" t="e">
        <f t="shared" si="49"/>
        <v>#N/A</v>
      </c>
      <c r="CK18" s="6">
        <f t="shared" si="50"/>
        <v>1</v>
      </c>
      <c r="CL18" s="6">
        <f t="shared" si="51"/>
        <v>1</v>
      </c>
      <c r="CM18" s="6">
        <f t="shared" si="52"/>
        <v>1</v>
      </c>
      <c r="CN18" s="6">
        <f t="shared" si="53"/>
        <v>0</v>
      </c>
      <c r="CO18" s="6">
        <f t="shared" si="54"/>
        <v>1</v>
      </c>
      <c r="CP18" s="6">
        <f t="shared" si="55"/>
        <v>1</v>
      </c>
      <c r="CQ18" s="6">
        <f t="shared" si="41"/>
        <v>1</v>
      </c>
      <c r="CR18" s="81" t="str">
        <f t="shared" si="56"/>
        <v/>
      </c>
      <c r="CS18">
        <f t="shared" si="42"/>
        <v>3.5999999999999992</v>
      </c>
      <c r="CT18">
        <f t="shared" si="58"/>
        <v>20</v>
      </c>
      <c r="CU18" t="str">
        <f t="shared" si="57"/>
        <v>rm</v>
      </c>
      <c r="CV18" s="81">
        <f t="shared" si="43"/>
        <v>200</v>
      </c>
      <c r="CW18" s="81">
        <f>(CV18/25)^1.5*(Calculator!$BU$4/10000)*CW$5</f>
        <v>58.426389194959008</v>
      </c>
      <c r="CX18" t="str">
        <f t="shared" si="44"/>
        <v>$20/rm</v>
      </c>
    </row>
    <row r="19" spans="2:102" x14ac:dyDescent="0.25">
      <c r="B19" s="115" t="s">
        <v>233</v>
      </c>
      <c r="C19" s="13">
        <v>46237.767361111109</v>
      </c>
      <c r="D19">
        <v>35658</v>
      </c>
      <c r="E19" s="54" t="s">
        <v>237</v>
      </c>
      <c r="F19" s="54" t="s">
        <v>294</v>
      </c>
      <c r="G19" s="54" t="s">
        <v>1769</v>
      </c>
      <c r="H19" s="55">
        <v>12.3</v>
      </c>
      <c r="I19" s="55">
        <v>11.899999999999999</v>
      </c>
      <c r="J19" s="55">
        <v>11.700000000000001</v>
      </c>
      <c r="K19" s="54"/>
      <c r="L19" s="56" t="b">
        <v>0</v>
      </c>
      <c r="M19" s="56" t="b">
        <v>0</v>
      </c>
      <c r="N19" s="54">
        <v>1</v>
      </c>
      <c r="O19" s="54" t="s">
        <v>228</v>
      </c>
      <c r="P19" s="54">
        <v>23</v>
      </c>
      <c r="Q19" s="54">
        <v>10</v>
      </c>
      <c r="R19" s="54" t="s">
        <v>296</v>
      </c>
      <c r="S19" s="54" t="s">
        <v>297</v>
      </c>
      <c r="T19" s="54" t="s">
        <v>298</v>
      </c>
      <c r="U19" s="54" t="s">
        <v>299</v>
      </c>
      <c r="V19" s="54" t="s">
        <v>300</v>
      </c>
      <c r="W19" s="54" t="b">
        <v>0</v>
      </c>
      <c r="X19" s="54"/>
      <c r="Y19" s="57" t="s">
        <v>1771</v>
      </c>
      <c r="Z19" s="54" t="s">
        <v>297</v>
      </c>
      <c r="AA19" s="54"/>
      <c r="AB19" s="54" t="s">
        <v>302</v>
      </c>
      <c r="AC19" s="56" t="b">
        <v>1</v>
      </c>
      <c r="AD19" s="56" t="b">
        <v>0</v>
      </c>
      <c r="AE19" s="54" t="s">
        <v>303</v>
      </c>
      <c r="AF19" s="58">
        <v>46237</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5.4899999999999997E-2</v>
      </c>
      <c r="BC19" s="60">
        <v>4.0599999999999996</v>
      </c>
      <c r="BD19" s="61">
        <v>6.0295000000000001E-2</v>
      </c>
      <c r="BE19" s="62" t="s">
        <v>293</v>
      </c>
      <c r="BF19" s="35">
        <f t="shared" si="45"/>
        <v>4.0600000000000005</v>
      </c>
      <c r="BG19" s="35">
        <f t="shared" si="45"/>
        <v>6.0295000000000001E-2</v>
      </c>
      <c r="BH19" s="35" t="str">
        <f t="shared" si="32"/>
        <v>Low</v>
      </c>
      <c r="BI19" s="110">
        <f t="shared" si="33"/>
        <v>0</v>
      </c>
      <c r="BJ19" s="83" t="str">
        <f>VLOOKUP($F19,REP_Info!$D$6:$H$250,5,FALSE)</f>
        <v/>
      </c>
      <c r="BK19" s="30">
        <f t="shared" si="34"/>
        <v>12.3315</v>
      </c>
      <c r="BL19" s="30">
        <f t="shared" si="34"/>
        <v>11.9255</v>
      </c>
      <c r="BM19" s="30">
        <f t="shared" si="34"/>
        <v>11.7225</v>
      </c>
      <c r="BN19" s="29">
        <f t="shared" si="34"/>
        <v>11.654833333333332</v>
      </c>
      <c r="BO19" s="85" t="str">
        <f t="shared" si="46"/>
        <v>$$$</v>
      </c>
      <c r="BP19" s="88" t="str">
        <f t="shared" si="35"/>
        <v>$$$</v>
      </c>
      <c r="BQ19" s="88" t="str">
        <f t="shared" si="47"/>
        <v>$$$</v>
      </c>
      <c r="BR19" s="88" t="str">
        <f t="shared" si="48"/>
        <v>$$$</v>
      </c>
      <c r="BS19" s="29" t="e">
        <f t="shared" si="36"/>
        <v>#N/A</v>
      </c>
      <c r="BT19" s="29" t="e">
        <f t="shared" si="36"/>
        <v>#N/A</v>
      </c>
      <c r="BU19" s="29" t="e">
        <f t="shared" si="36"/>
        <v>#N/A</v>
      </c>
      <c r="BV19" s="29" t="e">
        <f t="shared" si="36"/>
        <v>#N/A</v>
      </c>
      <c r="BW19" s="29" t="e">
        <f t="shared" si="36"/>
        <v>#N/A</v>
      </c>
      <c r="BX19" s="29" t="e">
        <f t="shared" si="36"/>
        <v>#N/A</v>
      </c>
      <c r="BY19" s="29" t="e">
        <f t="shared" si="36"/>
        <v>#N/A</v>
      </c>
      <c r="BZ19" s="29" t="e">
        <f t="shared" si="36"/>
        <v>#N/A</v>
      </c>
      <c r="CA19" s="29" t="e">
        <f t="shared" si="36"/>
        <v>#N/A</v>
      </c>
      <c r="CB19" s="29" t="e">
        <f t="shared" si="36"/>
        <v>#N/A</v>
      </c>
      <c r="CC19" s="29" t="e">
        <f t="shared" si="36"/>
        <v>#N/A</v>
      </c>
      <c r="CD19" s="29" t="e">
        <f t="shared" si="36"/>
        <v>#N/A</v>
      </c>
      <c r="CE19" s="6" t="str">
        <f t="shared" si="37"/>
        <v/>
      </c>
      <c r="CF19" s="27" t="e">
        <f>IF(AND(CI19,NOT(AD19)),LOOKUP(CF$5,{0,750,1500},H19:J19),"")</f>
        <v>#N/A</v>
      </c>
      <c r="CG19" s="6" t="str">
        <f t="shared" si="38"/>
        <v/>
      </c>
      <c r="CH19" t="e">
        <f t="shared" si="39"/>
        <v>#N/A</v>
      </c>
      <c r="CI19" t="e">
        <f t="shared" si="40"/>
        <v>#N/A</v>
      </c>
      <c r="CJ19" s="6" t="e">
        <f t="shared" si="49"/>
        <v>#N/A</v>
      </c>
      <c r="CK19" s="6">
        <f t="shared" si="50"/>
        <v>1</v>
      </c>
      <c r="CL19" s="6">
        <f t="shared" si="51"/>
        <v>1</v>
      </c>
      <c r="CM19" s="6">
        <f t="shared" si="52"/>
        <v>1</v>
      </c>
      <c r="CN19" s="6">
        <f t="shared" si="53"/>
        <v>0</v>
      </c>
      <c r="CO19" s="6">
        <f t="shared" si="54"/>
        <v>1</v>
      </c>
      <c r="CP19" s="6">
        <f t="shared" si="55"/>
        <v>1</v>
      </c>
      <c r="CQ19" s="6">
        <f t="shared" si="41"/>
        <v>1</v>
      </c>
      <c r="CR19" s="81" t="str">
        <f t="shared" si="56"/>
        <v/>
      </c>
      <c r="CS19">
        <f t="shared" si="42"/>
        <v>3.5999999999999992</v>
      </c>
      <c r="CT19">
        <f t="shared" si="58"/>
        <v>20</v>
      </c>
      <c r="CU19" t="str">
        <f t="shared" si="57"/>
        <v>rm</v>
      </c>
      <c r="CV19" s="81">
        <f t="shared" si="43"/>
        <v>200</v>
      </c>
      <c r="CW19" s="81">
        <f>(CV19/25)^1.5*(Calculator!$BU$4/10000)*CW$5</f>
        <v>58.426389194959008</v>
      </c>
      <c r="CX19" t="str">
        <f t="shared" si="44"/>
        <v>$20/rm</v>
      </c>
    </row>
    <row r="20" spans="2:102" x14ac:dyDescent="0.25">
      <c r="B20" s="115" t="s">
        <v>233</v>
      </c>
      <c r="C20" s="13">
        <v>46236.341666666667</v>
      </c>
      <c r="D20">
        <v>17326</v>
      </c>
      <c r="E20" s="54" t="s">
        <v>237</v>
      </c>
      <c r="F20" s="54" t="s">
        <v>305</v>
      </c>
      <c r="G20" s="54" t="s">
        <v>1842</v>
      </c>
      <c r="H20" s="55">
        <v>12.3</v>
      </c>
      <c r="I20" s="55">
        <v>11.5</v>
      </c>
      <c r="J20" s="55">
        <v>11.1</v>
      </c>
      <c r="K20" s="54"/>
      <c r="L20" s="56" t="b">
        <v>0</v>
      </c>
      <c r="M20" s="56" t="b">
        <v>1</v>
      </c>
      <c r="N20" s="54">
        <v>1</v>
      </c>
      <c r="O20" s="54" t="s">
        <v>228</v>
      </c>
      <c r="P20" s="54">
        <v>31</v>
      </c>
      <c r="Q20" s="54">
        <v>5</v>
      </c>
      <c r="R20" s="54">
        <v>175</v>
      </c>
      <c r="S20" s="54" t="s">
        <v>306</v>
      </c>
      <c r="T20" s="54" t="s">
        <v>307</v>
      </c>
      <c r="U20" s="54" t="s">
        <v>1829</v>
      </c>
      <c r="V20" s="54" t="s">
        <v>308</v>
      </c>
      <c r="W20" s="54" t="b">
        <v>0</v>
      </c>
      <c r="X20" s="54"/>
      <c r="Y20" s="57" t="s">
        <v>1843</v>
      </c>
      <c r="Z20" s="54" t="s">
        <v>309</v>
      </c>
      <c r="AA20" s="54"/>
      <c r="AB20" s="54" t="s">
        <v>310</v>
      </c>
      <c r="AC20" s="56" t="b">
        <v>1</v>
      </c>
      <c r="AD20" s="56" t="b">
        <v>0</v>
      </c>
      <c r="AE20" s="54" t="s">
        <v>303</v>
      </c>
      <c r="AF20" s="58">
        <v>46236</v>
      </c>
      <c r="AG20" s="62" t="s">
        <v>293</v>
      </c>
      <c r="AH20" s="54">
        <v>0</v>
      </c>
      <c r="AI20" s="54"/>
      <c r="AJ20" s="54"/>
      <c r="AK20" s="54"/>
      <c r="AL20" s="54"/>
      <c r="AM20" s="54">
        <v>9.9980000000000011</v>
      </c>
      <c r="AN20" s="54"/>
      <c r="AO20" s="54"/>
      <c r="AP20" s="54"/>
      <c r="AQ20" s="54"/>
      <c r="AR20" s="54"/>
      <c r="AS20" s="54"/>
      <c r="AT20" s="54"/>
      <c r="AU20" s="54"/>
      <c r="AV20" s="54"/>
      <c r="AW20" s="54"/>
      <c r="AX20" s="59"/>
      <c r="AY20" s="59"/>
      <c r="AZ20" s="59"/>
      <c r="BA20" s="59"/>
      <c r="BB20" s="59">
        <v>4.5560000000000003E-2</v>
      </c>
      <c r="BC20" s="60">
        <v>4.0599999999999996</v>
      </c>
      <c r="BD20" s="61">
        <v>6.0295000000000001E-2</v>
      </c>
      <c r="BE20" s="62" t="e">
        <v>#N/A</v>
      </c>
      <c r="BF20" s="35">
        <f t="shared" si="45"/>
        <v>4.0600000000000005</v>
      </c>
      <c r="BG20" s="35">
        <f t="shared" si="45"/>
        <v>6.0295000000000001E-2</v>
      </c>
      <c r="BH20" s="35" t="str">
        <f t="shared" si="32"/>
        <v>?</v>
      </c>
      <c r="BI20" s="110">
        <f t="shared" si="33"/>
        <v>0</v>
      </c>
      <c r="BJ20" s="83">
        <f>VLOOKUP($F20,REP_Info!$D$6:$H$250,5,FALSE)</f>
        <v>1.573</v>
      </c>
      <c r="BK20" s="30" t="e">
        <f t="shared" si="34"/>
        <v>#N/A</v>
      </c>
      <c r="BL20" s="30" t="e">
        <f t="shared" si="34"/>
        <v>#N/A</v>
      </c>
      <c r="BM20" s="30" t="e">
        <f t="shared" si="34"/>
        <v>#N/A</v>
      </c>
      <c r="BN20" s="29" t="e">
        <f t="shared" si="34"/>
        <v>#N/A</v>
      </c>
      <c r="BO20" s="85" t="str">
        <f t="shared" si="46"/>
        <v>$$$</v>
      </c>
      <c r="BP20" s="88" t="str">
        <f t="shared" si="35"/>
        <v>$$$</v>
      </c>
      <c r="BQ20" s="88" t="str">
        <f t="shared" si="47"/>
        <v>$$$</v>
      </c>
      <c r="BR20" s="88" t="str">
        <f t="shared" si="48"/>
        <v>$$$</v>
      </c>
      <c r="BS20" s="29" t="e">
        <f t="shared" si="36"/>
        <v>#N/A</v>
      </c>
      <c r="BT20" s="29" t="e">
        <f t="shared" si="36"/>
        <v>#N/A</v>
      </c>
      <c r="BU20" s="29" t="e">
        <f t="shared" si="36"/>
        <v>#N/A</v>
      </c>
      <c r="BV20" s="29" t="e">
        <f t="shared" si="36"/>
        <v>#N/A</v>
      </c>
      <c r="BW20" s="29" t="e">
        <f t="shared" si="36"/>
        <v>#N/A</v>
      </c>
      <c r="BX20" s="29" t="e">
        <f t="shared" si="36"/>
        <v>#N/A</v>
      </c>
      <c r="BY20" s="29" t="e">
        <f t="shared" si="36"/>
        <v>#N/A</v>
      </c>
      <c r="BZ20" s="29" t="e">
        <f t="shared" si="36"/>
        <v>#N/A</v>
      </c>
      <c r="CA20" s="29" t="e">
        <f t="shared" si="36"/>
        <v>#N/A</v>
      </c>
      <c r="CB20" s="29" t="e">
        <f t="shared" si="36"/>
        <v>#N/A</v>
      </c>
      <c r="CC20" s="29" t="e">
        <f t="shared" si="36"/>
        <v>#N/A</v>
      </c>
      <c r="CD20" s="29" t="e">
        <f t="shared" si="36"/>
        <v>#N/A</v>
      </c>
      <c r="CE20" s="6" t="str">
        <f t="shared" si="37"/>
        <v/>
      </c>
      <c r="CF20" s="27" t="e">
        <f>IF(AND(CI20,NOT(AD20)),LOOKUP(CF$5,{0,750,1500},H20:J20),"")</f>
        <v>#N/A</v>
      </c>
      <c r="CG20" s="6" t="str">
        <f t="shared" si="38"/>
        <v/>
      </c>
      <c r="CH20" t="e">
        <f t="shared" si="39"/>
        <v>#N/A</v>
      </c>
      <c r="CI20" t="e">
        <f t="shared" si="40"/>
        <v>#N/A</v>
      </c>
      <c r="CJ20" s="6" t="e">
        <f t="shared" si="49"/>
        <v>#N/A</v>
      </c>
      <c r="CK20" s="6">
        <f t="shared" si="50"/>
        <v>1</v>
      </c>
      <c r="CL20" s="6">
        <f t="shared" si="51"/>
        <v>1</v>
      </c>
      <c r="CM20" s="6">
        <f t="shared" si="52"/>
        <v>1</v>
      </c>
      <c r="CN20" s="6">
        <f t="shared" si="53"/>
        <v>0</v>
      </c>
      <c r="CO20" s="6">
        <f t="shared" si="54"/>
        <v>1</v>
      </c>
      <c r="CP20" s="6">
        <f t="shared" si="55"/>
        <v>1</v>
      </c>
      <c r="CQ20" s="6">
        <f t="shared" si="41"/>
        <v>1</v>
      </c>
      <c r="CR20" s="81" t="str">
        <f t="shared" si="56"/>
        <v/>
      </c>
      <c r="CS20">
        <f t="shared" si="42"/>
        <v>25.2</v>
      </c>
      <c r="CT20">
        <f t="shared" si="58"/>
        <v>175</v>
      </c>
      <c r="CU20" t="str">
        <f t="shared" si="57"/>
        <v/>
      </c>
      <c r="CV20" s="81">
        <f t="shared" si="43"/>
        <v>175</v>
      </c>
      <c r="CW20" s="81">
        <f>(CV20/25)^1.5*(Calculator!$BU$4/10000)*CW$5</f>
        <v>47.821272343654172</v>
      </c>
      <c r="CX20" t="str">
        <f t="shared" si="44"/>
        <v>$175</v>
      </c>
    </row>
    <row r="21" spans="2:102" x14ac:dyDescent="0.25">
      <c r="B21" s="115" t="s">
        <v>233</v>
      </c>
      <c r="C21" s="13">
        <v>46236.341666666667</v>
      </c>
      <c r="D21">
        <v>17330</v>
      </c>
      <c r="E21" s="54" t="s">
        <v>235</v>
      </c>
      <c r="F21" s="54" t="s">
        <v>305</v>
      </c>
      <c r="G21" s="54" t="s">
        <v>1842</v>
      </c>
      <c r="H21" s="55">
        <v>11.600000000000001</v>
      </c>
      <c r="I21" s="55">
        <v>10.7</v>
      </c>
      <c r="J21" s="55">
        <v>10.199999999999999</v>
      </c>
      <c r="K21" s="54"/>
      <c r="L21" s="56" t="b">
        <v>0</v>
      </c>
      <c r="M21" s="56" t="b">
        <v>1</v>
      </c>
      <c r="N21" s="54">
        <v>1</v>
      </c>
      <c r="O21" s="54" t="s">
        <v>228</v>
      </c>
      <c r="P21" s="54">
        <v>31</v>
      </c>
      <c r="Q21" s="54">
        <v>5</v>
      </c>
      <c r="R21" s="54">
        <v>175</v>
      </c>
      <c r="S21" s="54" t="s">
        <v>306</v>
      </c>
      <c r="T21" s="54" t="s">
        <v>307</v>
      </c>
      <c r="U21" s="54" t="s">
        <v>1828</v>
      </c>
      <c r="V21" s="54" t="s">
        <v>308</v>
      </c>
      <c r="W21" s="54" t="b">
        <v>0</v>
      </c>
      <c r="X21" s="54"/>
      <c r="Y21" s="57" t="s">
        <v>1844</v>
      </c>
      <c r="Z21" s="54" t="s">
        <v>309</v>
      </c>
      <c r="AA21" s="54"/>
      <c r="AB21" s="54" t="s">
        <v>310</v>
      </c>
      <c r="AC21" s="56" t="b">
        <v>1</v>
      </c>
      <c r="AD21" s="56" t="b">
        <v>0</v>
      </c>
      <c r="AE21" s="54" t="s">
        <v>303</v>
      </c>
      <c r="AF21" s="58">
        <v>46236</v>
      </c>
      <c r="AG21" s="62" t="s">
        <v>293</v>
      </c>
      <c r="AH21" s="54">
        <v>0</v>
      </c>
      <c r="AI21" s="54"/>
      <c r="AJ21" s="54"/>
      <c r="AK21" s="54"/>
      <c r="AL21" s="54"/>
      <c r="AM21" s="54">
        <v>9.9980000000000011</v>
      </c>
      <c r="AN21" s="54"/>
      <c r="AO21" s="54"/>
      <c r="AP21" s="54"/>
      <c r="AQ21" s="54"/>
      <c r="AR21" s="54"/>
      <c r="AS21" s="54"/>
      <c r="AT21" s="54"/>
      <c r="AU21" s="54"/>
      <c r="AV21" s="54"/>
      <c r="AW21" s="54"/>
      <c r="AX21" s="59"/>
      <c r="AY21" s="59"/>
      <c r="AZ21" s="59"/>
      <c r="BA21" s="59"/>
      <c r="BB21" s="59">
        <v>4.6230000000000007E-2</v>
      </c>
      <c r="BC21" s="60">
        <v>4.9000000000000004</v>
      </c>
      <c r="BD21" s="61">
        <v>5.1461E-2</v>
      </c>
      <c r="BE21" s="62" t="e">
        <v>#N/A</v>
      </c>
      <c r="BF21" s="35">
        <f t="shared" si="45"/>
        <v>4.9000000000000004</v>
      </c>
      <c r="BG21" s="35">
        <f t="shared" si="45"/>
        <v>5.1461E-2</v>
      </c>
      <c r="BH21" s="35" t="str">
        <f t="shared" si="32"/>
        <v>?</v>
      </c>
      <c r="BI21" s="110">
        <f t="shared" si="33"/>
        <v>0</v>
      </c>
      <c r="BJ21" s="83">
        <f>VLOOKUP($F21,REP_Info!$D$6:$H$250,5,FALSE)</f>
        <v>1.573</v>
      </c>
      <c r="BK21" s="30" t="e">
        <f t="shared" si="34"/>
        <v>#N/A</v>
      </c>
      <c r="BL21" s="30" t="e">
        <f t="shared" si="34"/>
        <v>#N/A</v>
      </c>
      <c r="BM21" s="30" t="e">
        <f t="shared" si="34"/>
        <v>#N/A</v>
      </c>
      <c r="BN21" s="29" t="e">
        <f t="shared" si="34"/>
        <v>#N/A</v>
      </c>
      <c r="BO21" s="85" t="str">
        <f t="shared" si="46"/>
        <v>$$$</v>
      </c>
      <c r="BP21" s="88" t="str">
        <f t="shared" si="35"/>
        <v>$$$</v>
      </c>
      <c r="BQ21" s="88" t="str">
        <f t="shared" si="47"/>
        <v>$$$</v>
      </c>
      <c r="BR21" s="88" t="str">
        <f t="shared" si="48"/>
        <v>$$$</v>
      </c>
      <c r="BS21" s="29" t="e">
        <f t="shared" si="36"/>
        <v>#N/A</v>
      </c>
      <c r="BT21" s="29" t="e">
        <f t="shared" si="36"/>
        <v>#N/A</v>
      </c>
      <c r="BU21" s="29" t="e">
        <f t="shared" si="36"/>
        <v>#N/A</v>
      </c>
      <c r="BV21" s="29" t="e">
        <f t="shared" si="36"/>
        <v>#N/A</v>
      </c>
      <c r="BW21" s="29" t="e">
        <f t="shared" si="36"/>
        <v>#N/A</v>
      </c>
      <c r="BX21" s="29" t="e">
        <f t="shared" si="36"/>
        <v>#N/A</v>
      </c>
      <c r="BY21" s="29" t="e">
        <f t="shared" si="36"/>
        <v>#N/A</v>
      </c>
      <c r="BZ21" s="29" t="e">
        <f t="shared" si="36"/>
        <v>#N/A</v>
      </c>
      <c r="CA21" s="29" t="e">
        <f t="shared" si="36"/>
        <v>#N/A</v>
      </c>
      <c r="CB21" s="29" t="e">
        <f t="shared" si="36"/>
        <v>#N/A</v>
      </c>
      <c r="CC21" s="29" t="e">
        <f t="shared" si="36"/>
        <v>#N/A</v>
      </c>
      <c r="CD21" s="29" t="e">
        <f t="shared" si="36"/>
        <v>#N/A</v>
      </c>
      <c r="CE21" s="6" t="str">
        <f t="shared" si="37"/>
        <v/>
      </c>
      <c r="CF21" s="27" t="e">
        <f>IF(AND(CI21,NOT(AD21)),LOOKUP(CF$5,{0,750,1500},H21:J21),"")</f>
        <v>#N/A</v>
      </c>
      <c r="CG21" s="6" t="str">
        <f t="shared" si="38"/>
        <v/>
      </c>
      <c r="CH21" t="e">
        <f t="shared" si="39"/>
        <v>#N/A</v>
      </c>
      <c r="CI21" t="e">
        <f t="shared" si="40"/>
        <v>#N/A</v>
      </c>
      <c r="CJ21" s="6" t="e">
        <f t="shared" si="49"/>
        <v>#N/A</v>
      </c>
      <c r="CK21" s="6">
        <f t="shared" si="50"/>
        <v>1</v>
      </c>
      <c r="CL21" s="6">
        <f t="shared" si="51"/>
        <v>1</v>
      </c>
      <c r="CM21" s="6">
        <f t="shared" si="52"/>
        <v>1</v>
      </c>
      <c r="CN21" s="6">
        <f t="shared" si="53"/>
        <v>0</v>
      </c>
      <c r="CO21" s="6">
        <f t="shared" si="54"/>
        <v>1</v>
      </c>
      <c r="CP21" s="6">
        <f t="shared" si="55"/>
        <v>1</v>
      </c>
      <c r="CQ21" s="6">
        <f t="shared" si="41"/>
        <v>1</v>
      </c>
      <c r="CR21" s="81" t="str">
        <f t="shared" si="56"/>
        <v/>
      </c>
      <c r="CS21">
        <f t="shared" si="42"/>
        <v>25.2</v>
      </c>
      <c r="CT21">
        <f t="shared" si="58"/>
        <v>175</v>
      </c>
      <c r="CU21" t="str">
        <f t="shared" si="57"/>
        <v/>
      </c>
      <c r="CV21" s="81">
        <f t="shared" si="43"/>
        <v>175</v>
      </c>
      <c r="CW21" s="81">
        <f>(CV21/25)^1.5*(Calculator!$BU$4/10000)*CW$5</f>
        <v>47.821272343654172</v>
      </c>
      <c r="CX21" t="str">
        <f t="shared" si="44"/>
        <v>$175</v>
      </c>
    </row>
    <row r="22" spans="2:102" x14ac:dyDescent="0.25">
      <c r="B22" s="115" t="s">
        <v>233</v>
      </c>
      <c r="C22" s="13">
        <v>46236.341666666667</v>
      </c>
      <c r="D22">
        <v>22141</v>
      </c>
      <c r="E22" s="54" t="s">
        <v>237</v>
      </c>
      <c r="F22" s="54" t="s">
        <v>305</v>
      </c>
      <c r="G22" s="54" t="s">
        <v>1845</v>
      </c>
      <c r="H22" s="55">
        <v>12.4</v>
      </c>
      <c r="I22" s="55">
        <v>11.5</v>
      </c>
      <c r="J22" s="55">
        <v>11.1</v>
      </c>
      <c r="K22" s="54"/>
      <c r="L22" s="56" t="b">
        <v>0</v>
      </c>
      <c r="M22" s="56" t="b">
        <v>0</v>
      </c>
      <c r="N22" s="54">
        <v>1</v>
      </c>
      <c r="O22" s="54" t="s">
        <v>228</v>
      </c>
      <c r="P22" s="54">
        <v>31</v>
      </c>
      <c r="Q22" s="54">
        <v>5</v>
      </c>
      <c r="R22" s="54">
        <v>175</v>
      </c>
      <c r="S22" s="54" t="s">
        <v>306</v>
      </c>
      <c r="T22" s="54" t="s">
        <v>311</v>
      </c>
      <c r="U22" s="54" t="s">
        <v>1830</v>
      </c>
      <c r="V22" s="54" t="s">
        <v>308</v>
      </c>
      <c r="W22" s="54" t="b">
        <v>0</v>
      </c>
      <c r="X22" s="54"/>
      <c r="Y22" s="57" t="s">
        <v>1846</v>
      </c>
      <c r="Z22" s="54" t="s">
        <v>309</v>
      </c>
      <c r="AA22" s="54"/>
      <c r="AB22" s="54" t="s">
        <v>310</v>
      </c>
      <c r="AC22" s="56" t="b">
        <v>1</v>
      </c>
      <c r="AD22" s="56" t="b">
        <v>0</v>
      </c>
      <c r="AE22" s="54" t="s">
        <v>303</v>
      </c>
      <c r="AF22" s="58">
        <v>46236</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4.5999999999999999E-2</v>
      </c>
      <c r="BC22" s="60">
        <v>4.0599999999999996</v>
      </c>
      <c r="BD22" s="61">
        <v>6.0295000000000001E-2</v>
      </c>
      <c r="BE22" s="62" t="s">
        <v>293</v>
      </c>
      <c r="BF22" s="35">
        <f t="shared" si="45"/>
        <v>4.0600000000000005</v>
      </c>
      <c r="BG22" s="35">
        <f t="shared" si="45"/>
        <v>6.0295000000000001E-2</v>
      </c>
      <c r="BH22" s="35" t="str">
        <f t="shared" si="32"/>
        <v>Med</v>
      </c>
      <c r="BI22" s="110">
        <f t="shared" si="33"/>
        <v>0</v>
      </c>
      <c r="BJ22" s="83">
        <f>VLOOKUP($F22,REP_Info!$D$6:$H$250,5,FALSE)</f>
        <v>1.573</v>
      </c>
      <c r="BK22" s="30">
        <f t="shared" si="34"/>
        <v>13.4411</v>
      </c>
      <c r="BL22" s="30">
        <f t="shared" si="34"/>
        <v>12.035300000000001</v>
      </c>
      <c r="BM22" s="30">
        <f t="shared" si="34"/>
        <v>11.332400000000002</v>
      </c>
      <c r="BN22" s="29">
        <f t="shared" si="34"/>
        <v>11.098099999999999</v>
      </c>
      <c r="BO22" s="85" t="str">
        <f t="shared" si="46"/>
        <v>$$$</v>
      </c>
      <c r="BP22" s="88" t="str">
        <f t="shared" si="35"/>
        <v>$$$</v>
      </c>
      <c r="BQ22" s="88" t="str">
        <f t="shared" si="47"/>
        <v>$$$</v>
      </c>
      <c r="BR22" s="88" t="str">
        <f t="shared" si="48"/>
        <v>$$$</v>
      </c>
      <c r="BS22" s="29" t="e">
        <f t="shared" si="36"/>
        <v>#N/A</v>
      </c>
      <c r="BT22" s="29" t="e">
        <f t="shared" si="36"/>
        <v>#N/A</v>
      </c>
      <c r="BU22" s="29" t="e">
        <f t="shared" si="36"/>
        <v>#N/A</v>
      </c>
      <c r="BV22" s="29" t="e">
        <f t="shared" si="36"/>
        <v>#N/A</v>
      </c>
      <c r="BW22" s="29" t="e">
        <f t="shared" si="36"/>
        <v>#N/A</v>
      </c>
      <c r="BX22" s="29" t="e">
        <f t="shared" si="36"/>
        <v>#N/A</v>
      </c>
      <c r="BY22" s="29" t="e">
        <f t="shared" si="36"/>
        <v>#N/A</v>
      </c>
      <c r="BZ22" s="29" t="e">
        <f t="shared" si="36"/>
        <v>#N/A</v>
      </c>
      <c r="CA22" s="29" t="e">
        <f t="shared" si="36"/>
        <v>#N/A</v>
      </c>
      <c r="CB22" s="29" t="e">
        <f t="shared" si="36"/>
        <v>#N/A</v>
      </c>
      <c r="CC22" s="29" t="e">
        <f t="shared" si="36"/>
        <v>#N/A</v>
      </c>
      <c r="CD22" s="29" t="e">
        <f t="shared" si="36"/>
        <v>#N/A</v>
      </c>
      <c r="CE22" s="6" t="str">
        <f t="shared" si="37"/>
        <v/>
      </c>
      <c r="CF22" s="27" t="e">
        <f>IF(AND(CI22,NOT(AD22)),LOOKUP(CF$5,{0,750,1500},H22:J22),"")</f>
        <v>#N/A</v>
      </c>
      <c r="CG22" s="6" t="str">
        <f t="shared" si="38"/>
        <v/>
      </c>
      <c r="CH22" t="e">
        <f t="shared" si="39"/>
        <v>#N/A</v>
      </c>
      <c r="CI22" t="e">
        <f t="shared" si="40"/>
        <v>#N/A</v>
      </c>
      <c r="CJ22" s="6" t="e">
        <f t="shared" si="49"/>
        <v>#N/A</v>
      </c>
      <c r="CK22" s="6">
        <f t="shared" si="50"/>
        <v>1</v>
      </c>
      <c r="CL22" s="6">
        <f t="shared" si="51"/>
        <v>1</v>
      </c>
      <c r="CM22" s="6">
        <f t="shared" si="52"/>
        <v>1</v>
      </c>
      <c r="CN22" s="6">
        <f t="shared" si="53"/>
        <v>0</v>
      </c>
      <c r="CO22" s="6">
        <f t="shared" si="54"/>
        <v>1</v>
      </c>
      <c r="CP22" s="6">
        <f t="shared" si="55"/>
        <v>1</v>
      </c>
      <c r="CQ22" s="6">
        <f t="shared" si="41"/>
        <v>1</v>
      </c>
      <c r="CR22" s="81" t="str">
        <f t="shared" si="56"/>
        <v/>
      </c>
      <c r="CS22">
        <f t="shared" si="42"/>
        <v>25.2</v>
      </c>
      <c r="CT22">
        <f t="shared" si="58"/>
        <v>175</v>
      </c>
      <c r="CU22" t="str">
        <f t="shared" si="57"/>
        <v/>
      </c>
      <c r="CV22" s="81">
        <f t="shared" si="43"/>
        <v>175</v>
      </c>
      <c r="CW22" s="81">
        <f>(CV22/25)^1.5*(Calculator!$BU$4/10000)*CW$5</f>
        <v>47.821272343654172</v>
      </c>
      <c r="CX22" t="str">
        <f t="shared" si="44"/>
        <v>$175</v>
      </c>
    </row>
    <row r="23" spans="2:102" x14ac:dyDescent="0.25">
      <c r="B23" s="115" t="s">
        <v>233</v>
      </c>
      <c r="C23" s="13">
        <v>46236.341666666667</v>
      </c>
      <c r="D23">
        <v>22143</v>
      </c>
      <c r="E23" s="54" t="s">
        <v>235</v>
      </c>
      <c r="F23" s="54" t="s">
        <v>305</v>
      </c>
      <c r="G23" s="54" t="s">
        <v>1845</v>
      </c>
      <c r="H23" s="55">
        <v>11.600000000000001</v>
      </c>
      <c r="I23" s="55">
        <v>10.7</v>
      </c>
      <c r="J23" s="55">
        <v>10.199999999999999</v>
      </c>
      <c r="K23" s="54"/>
      <c r="L23" s="56" t="b">
        <v>0</v>
      </c>
      <c r="M23" s="56" t="b">
        <v>0</v>
      </c>
      <c r="N23" s="54">
        <v>1</v>
      </c>
      <c r="O23" s="54" t="s">
        <v>228</v>
      </c>
      <c r="P23" s="54">
        <v>31</v>
      </c>
      <c r="Q23" s="54">
        <v>5</v>
      </c>
      <c r="R23" s="54">
        <v>175</v>
      </c>
      <c r="S23" s="54" t="s">
        <v>306</v>
      </c>
      <c r="T23" s="54" t="s">
        <v>311</v>
      </c>
      <c r="U23" s="54" t="s">
        <v>1831</v>
      </c>
      <c r="V23" s="54" t="s">
        <v>308</v>
      </c>
      <c r="W23" s="54" t="b">
        <v>0</v>
      </c>
      <c r="X23" s="54"/>
      <c r="Y23" s="57" t="s">
        <v>1847</v>
      </c>
      <c r="Z23" s="54" t="s">
        <v>309</v>
      </c>
      <c r="AA23" s="54"/>
      <c r="AB23" s="54" t="s">
        <v>310</v>
      </c>
      <c r="AC23" s="56" t="b">
        <v>1</v>
      </c>
      <c r="AD23" s="56" t="b">
        <v>0</v>
      </c>
      <c r="AE23" s="54" t="s">
        <v>303</v>
      </c>
      <c r="AF23" s="58">
        <v>46236</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4.5999999999999999E-2</v>
      </c>
      <c r="BC23" s="60">
        <v>4.9000000000000004</v>
      </c>
      <c r="BD23" s="61">
        <v>5.1461E-2</v>
      </c>
      <c r="BE23" s="62" t="s">
        <v>293</v>
      </c>
      <c r="BF23" s="35">
        <f t="shared" si="45"/>
        <v>4.9000000000000004</v>
      </c>
      <c r="BG23" s="35">
        <f t="shared" si="45"/>
        <v>5.1461E-2</v>
      </c>
      <c r="BH23" s="35" t="str">
        <f t="shared" si="32"/>
        <v>Med</v>
      </c>
      <c r="BI23" s="110">
        <f t="shared" si="33"/>
        <v>0</v>
      </c>
      <c r="BJ23" s="83">
        <f>VLOOKUP($F23,REP_Info!$D$6:$H$250,5,FALSE)</f>
        <v>1.573</v>
      </c>
      <c r="BK23" s="30">
        <f t="shared" si="34"/>
        <v>12.725700000000002</v>
      </c>
      <c r="BL23" s="30">
        <f t="shared" si="34"/>
        <v>11.235900000000001</v>
      </c>
      <c r="BM23" s="30">
        <f t="shared" si="34"/>
        <v>10.491</v>
      </c>
      <c r="BN23" s="29">
        <f t="shared" si="34"/>
        <v>10.242700000000001</v>
      </c>
      <c r="BO23" s="85" t="str">
        <f t="shared" si="46"/>
        <v>$$$</v>
      </c>
      <c r="BP23" s="88" t="str">
        <f t="shared" si="35"/>
        <v>$$$</v>
      </c>
      <c r="BQ23" s="88" t="str">
        <f t="shared" si="47"/>
        <v>$$$</v>
      </c>
      <c r="BR23" s="88" t="str">
        <f t="shared" si="48"/>
        <v>$$$</v>
      </c>
      <c r="BS23" s="29" t="e">
        <f t="shared" si="36"/>
        <v>#N/A</v>
      </c>
      <c r="BT23" s="29" t="e">
        <f t="shared" si="36"/>
        <v>#N/A</v>
      </c>
      <c r="BU23" s="29" t="e">
        <f t="shared" si="36"/>
        <v>#N/A</v>
      </c>
      <c r="BV23" s="29" t="e">
        <f t="shared" si="36"/>
        <v>#N/A</v>
      </c>
      <c r="BW23" s="29" t="e">
        <f t="shared" si="36"/>
        <v>#N/A</v>
      </c>
      <c r="BX23" s="29" t="e">
        <f t="shared" si="36"/>
        <v>#N/A</v>
      </c>
      <c r="BY23" s="29" t="e">
        <f t="shared" si="36"/>
        <v>#N/A</v>
      </c>
      <c r="BZ23" s="29" t="e">
        <f t="shared" si="36"/>
        <v>#N/A</v>
      </c>
      <c r="CA23" s="29" t="e">
        <f t="shared" si="36"/>
        <v>#N/A</v>
      </c>
      <c r="CB23" s="29" t="e">
        <f t="shared" si="36"/>
        <v>#N/A</v>
      </c>
      <c r="CC23" s="29" t="e">
        <f t="shared" si="36"/>
        <v>#N/A</v>
      </c>
      <c r="CD23" s="29" t="e">
        <f t="shared" si="36"/>
        <v>#N/A</v>
      </c>
      <c r="CE23" s="6" t="str">
        <f t="shared" si="37"/>
        <v/>
      </c>
      <c r="CF23" s="27" t="e">
        <f>IF(AND(CI23,NOT(AD23)),LOOKUP(CF$5,{0,750,1500},H23:J23),"")</f>
        <v>#N/A</v>
      </c>
      <c r="CG23" s="6" t="str">
        <f t="shared" si="38"/>
        <v/>
      </c>
      <c r="CH23" t="e">
        <f t="shared" si="39"/>
        <v>#N/A</v>
      </c>
      <c r="CI23" t="e">
        <f t="shared" si="40"/>
        <v>#N/A</v>
      </c>
      <c r="CJ23" s="6" t="e">
        <f t="shared" si="49"/>
        <v>#N/A</v>
      </c>
      <c r="CK23" s="6">
        <f t="shared" si="50"/>
        <v>1</v>
      </c>
      <c r="CL23" s="6">
        <f t="shared" si="51"/>
        <v>1</v>
      </c>
      <c r="CM23" s="6">
        <f t="shared" si="52"/>
        <v>1</v>
      </c>
      <c r="CN23" s="6">
        <f t="shared" si="53"/>
        <v>0</v>
      </c>
      <c r="CO23" s="6">
        <f t="shared" si="54"/>
        <v>1</v>
      </c>
      <c r="CP23" s="6">
        <f t="shared" si="55"/>
        <v>1</v>
      </c>
      <c r="CQ23" s="6">
        <f t="shared" si="41"/>
        <v>1</v>
      </c>
      <c r="CR23" s="81" t="str">
        <f t="shared" si="56"/>
        <v/>
      </c>
      <c r="CS23">
        <f t="shared" si="42"/>
        <v>25.2</v>
      </c>
      <c r="CT23">
        <f t="shared" si="58"/>
        <v>175</v>
      </c>
      <c r="CU23" t="str">
        <f t="shared" si="57"/>
        <v/>
      </c>
      <c r="CV23" s="81">
        <f t="shared" si="43"/>
        <v>175</v>
      </c>
      <c r="CW23" s="81">
        <f>(CV23/25)^1.5*(Calculator!$BU$4/10000)*CW$5</f>
        <v>47.821272343654172</v>
      </c>
      <c r="CX23" t="str">
        <f t="shared" si="44"/>
        <v>$175</v>
      </c>
    </row>
    <row r="24" spans="2:102" x14ac:dyDescent="0.25">
      <c r="B24" s="115" t="s">
        <v>233</v>
      </c>
      <c r="C24" s="13">
        <v>46174.569444444445</v>
      </c>
      <c r="D24">
        <v>22774</v>
      </c>
      <c r="E24" s="54" t="s">
        <v>237</v>
      </c>
      <c r="F24" s="54" t="s">
        <v>305</v>
      </c>
      <c r="G24" s="54" t="s">
        <v>312</v>
      </c>
      <c r="H24" s="55">
        <v>24</v>
      </c>
      <c r="I24" s="55">
        <v>11.1</v>
      </c>
      <c r="J24" s="55">
        <v>17.2</v>
      </c>
      <c r="K24" s="54" t="s">
        <v>313</v>
      </c>
      <c r="L24" s="56" t="b">
        <v>0</v>
      </c>
      <c r="M24" s="56" t="b">
        <v>0</v>
      </c>
      <c r="N24" s="54">
        <v>1</v>
      </c>
      <c r="O24" s="54" t="s">
        <v>228</v>
      </c>
      <c r="P24" s="54">
        <v>31</v>
      </c>
      <c r="Q24" s="54">
        <v>12</v>
      </c>
      <c r="R24" s="54">
        <v>175</v>
      </c>
      <c r="S24" s="54" t="s">
        <v>306</v>
      </c>
      <c r="T24" s="54" t="s">
        <v>314</v>
      </c>
      <c r="U24" s="54" t="s">
        <v>315</v>
      </c>
      <c r="V24" s="54" t="s">
        <v>308</v>
      </c>
      <c r="W24" s="54" t="b">
        <v>0</v>
      </c>
      <c r="X24" s="54"/>
      <c r="Y24" s="57" t="s">
        <v>316</v>
      </c>
      <c r="Z24" s="54" t="s">
        <v>317</v>
      </c>
      <c r="AA24" s="54"/>
      <c r="AB24" s="54" t="s">
        <v>310</v>
      </c>
      <c r="AC24" s="56" t="b">
        <v>1</v>
      </c>
      <c r="AD24" s="56" t="b">
        <v>1</v>
      </c>
      <c r="AE24" s="54" t="s">
        <v>303</v>
      </c>
      <c r="AF24" s="58">
        <v>46174</v>
      </c>
      <c r="AG24" s="62" t="s">
        <v>293</v>
      </c>
      <c r="AH24" s="54">
        <v>0</v>
      </c>
      <c r="AI24" s="54">
        <v>1000</v>
      </c>
      <c r="AJ24" s="54"/>
      <c r="AK24" s="54"/>
      <c r="AL24" s="54"/>
      <c r="AM24" s="54">
        <v>0</v>
      </c>
      <c r="AN24" s="54">
        <v>-125</v>
      </c>
      <c r="AO24" s="54"/>
      <c r="AP24" s="54"/>
      <c r="AQ24" s="54"/>
      <c r="AR24" s="54"/>
      <c r="AS24" s="54"/>
      <c r="AT24" s="54"/>
      <c r="AU24" s="54"/>
      <c r="AV24" s="54"/>
      <c r="AW24" s="54"/>
      <c r="AX24" s="59"/>
      <c r="AY24" s="59"/>
      <c r="AZ24" s="59"/>
      <c r="BA24" s="59"/>
      <c r="BB24" s="59">
        <v>0.17</v>
      </c>
      <c r="BC24" s="60">
        <v>4.0599999999999996</v>
      </c>
      <c r="BD24" s="61">
        <v>6.1969999999999997E-2</v>
      </c>
      <c r="BE24" s="62" t="s">
        <v>293</v>
      </c>
      <c r="BF24" s="35">
        <f t="shared" si="45"/>
        <v>4.0600000000000005</v>
      </c>
      <c r="BG24" s="35">
        <f t="shared" si="45"/>
        <v>6.0295000000000001E-2</v>
      </c>
      <c r="BH24" s="35" t="str">
        <f t="shared" si="32"/>
        <v>High</v>
      </c>
      <c r="BI24" s="110">
        <f t="shared" si="33"/>
        <v>0</v>
      </c>
      <c r="BJ24" s="83">
        <f>VLOOKUP($F24,REP_Info!$D$6:$H$250,5,FALSE)</f>
        <v>1.573</v>
      </c>
      <c r="BK24" s="30">
        <f t="shared" si="34"/>
        <v>23.841500000000003</v>
      </c>
      <c r="BL24" s="30">
        <f t="shared" si="34"/>
        <v>10.935499999999999</v>
      </c>
      <c r="BM24" s="30">
        <f t="shared" si="34"/>
        <v>16.982500000000002</v>
      </c>
      <c r="BN24" s="29">
        <f t="shared" si="34"/>
        <v>18.99816666666667</v>
      </c>
      <c r="BO24" s="85" t="str">
        <f t="shared" si="46"/>
        <v>$$$</v>
      </c>
      <c r="BP24" s="88" t="str">
        <f t="shared" si="35"/>
        <v>$$$</v>
      </c>
      <c r="BQ24" s="88" t="str">
        <f t="shared" si="47"/>
        <v>$$$</v>
      </c>
      <c r="BR24" s="88" t="str">
        <f t="shared" si="48"/>
        <v>$$$</v>
      </c>
      <c r="BS24" s="29" t="e">
        <f t="shared" si="36"/>
        <v>#N/A</v>
      </c>
      <c r="BT24" s="29" t="e">
        <f t="shared" si="36"/>
        <v>#N/A</v>
      </c>
      <c r="BU24" s="29" t="e">
        <f t="shared" si="36"/>
        <v>#N/A</v>
      </c>
      <c r="BV24" s="29" t="e">
        <f t="shared" si="36"/>
        <v>#N/A</v>
      </c>
      <c r="BW24" s="29" t="e">
        <f t="shared" si="36"/>
        <v>#N/A</v>
      </c>
      <c r="BX24" s="29" t="e">
        <f t="shared" si="36"/>
        <v>#N/A</v>
      </c>
      <c r="BY24" s="29" t="e">
        <f t="shared" si="36"/>
        <v>#N/A</v>
      </c>
      <c r="BZ24" s="29" t="e">
        <f t="shared" si="36"/>
        <v>#N/A</v>
      </c>
      <c r="CA24" s="29" t="e">
        <f t="shared" si="36"/>
        <v>#N/A</v>
      </c>
      <c r="CB24" s="29" t="e">
        <f t="shared" si="36"/>
        <v>#N/A</v>
      </c>
      <c r="CC24" s="29" t="e">
        <f t="shared" si="36"/>
        <v>#N/A</v>
      </c>
      <c r="CD24" s="29" t="e">
        <f t="shared" si="36"/>
        <v>#N/A</v>
      </c>
      <c r="CE24" s="6" t="str">
        <f t="shared" si="37"/>
        <v/>
      </c>
      <c r="CF24" s="27" t="e">
        <f>IF(AND(CI24,NOT(AD24)),LOOKUP(CF$5,{0,750,1500},H24:J24),"")</f>
        <v>#N/A</v>
      </c>
      <c r="CG24" s="6" t="str">
        <f t="shared" si="38"/>
        <v/>
      </c>
      <c r="CH24" t="e">
        <f t="shared" si="39"/>
        <v>#N/A</v>
      </c>
      <c r="CI24" t="e">
        <f t="shared" si="40"/>
        <v>#N/A</v>
      </c>
      <c r="CJ24" s="6" t="e">
        <f t="shared" si="49"/>
        <v>#N/A</v>
      </c>
      <c r="CK24" s="6">
        <f t="shared" si="50"/>
        <v>1</v>
      </c>
      <c r="CL24" s="6">
        <f t="shared" si="51"/>
        <v>1</v>
      </c>
      <c r="CM24" s="6">
        <f t="shared" si="52"/>
        <v>1</v>
      </c>
      <c r="CN24" s="6">
        <f t="shared" si="53"/>
        <v>1</v>
      </c>
      <c r="CO24" s="6">
        <f t="shared" si="54"/>
        <v>1</v>
      </c>
      <c r="CP24" s="6">
        <f t="shared" si="55"/>
        <v>1</v>
      </c>
      <c r="CQ24" s="6">
        <f t="shared" si="41"/>
        <v>1</v>
      </c>
      <c r="CR24" s="81" t="str">
        <f t="shared" si="56"/>
        <v/>
      </c>
      <c r="CS24">
        <f t="shared" si="42"/>
        <v>0</v>
      </c>
      <c r="CT24">
        <f t="shared" si="58"/>
        <v>175</v>
      </c>
      <c r="CU24" t="str">
        <f t="shared" si="57"/>
        <v/>
      </c>
      <c r="CV24" s="81">
        <f t="shared" si="43"/>
        <v>175</v>
      </c>
      <c r="CW24" s="81">
        <f>(CV24/25)^1.5*(Calculator!$BU$4/10000)*CW$5</f>
        <v>47.821272343654172</v>
      </c>
      <c r="CX24" t="str">
        <f t="shared" si="44"/>
        <v>$175</v>
      </c>
    </row>
    <row r="25" spans="2:102" x14ac:dyDescent="0.25">
      <c r="B25" s="115" t="s">
        <v>233</v>
      </c>
      <c r="C25" s="13">
        <v>46174.569444444445</v>
      </c>
      <c r="D25">
        <v>24328</v>
      </c>
      <c r="E25" s="54" t="s">
        <v>235</v>
      </c>
      <c r="F25" s="54" t="s">
        <v>305</v>
      </c>
      <c r="G25" s="54" t="s">
        <v>312</v>
      </c>
      <c r="H25" s="55">
        <v>21.5</v>
      </c>
      <c r="I25" s="55">
        <v>8.5</v>
      </c>
      <c r="J25" s="55">
        <v>14.499999999999998</v>
      </c>
      <c r="K25" s="54" t="s">
        <v>313</v>
      </c>
      <c r="L25" s="56" t="b">
        <v>0</v>
      </c>
      <c r="M25" s="56" t="b">
        <v>0</v>
      </c>
      <c r="N25" s="54">
        <v>1</v>
      </c>
      <c r="O25" s="54" t="s">
        <v>228</v>
      </c>
      <c r="P25" s="54">
        <v>31</v>
      </c>
      <c r="Q25" s="54">
        <v>12</v>
      </c>
      <c r="R25" s="54">
        <v>175</v>
      </c>
      <c r="S25" s="54" t="s">
        <v>306</v>
      </c>
      <c r="T25" s="54" t="s">
        <v>314</v>
      </c>
      <c r="U25" s="54" t="s">
        <v>318</v>
      </c>
      <c r="V25" s="54" t="s">
        <v>308</v>
      </c>
      <c r="W25" s="54" t="b">
        <v>0</v>
      </c>
      <c r="X25" s="54"/>
      <c r="Y25" s="57" t="s">
        <v>319</v>
      </c>
      <c r="Z25" s="54" t="s">
        <v>317</v>
      </c>
      <c r="AA25" s="54"/>
      <c r="AB25" s="54" t="s">
        <v>310</v>
      </c>
      <c r="AC25" s="56" t="b">
        <v>1</v>
      </c>
      <c r="AD25" s="56" t="b">
        <v>1</v>
      </c>
      <c r="AE25" s="54" t="s">
        <v>303</v>
      </c>
      <c r="AF25" s="58">
        <v>46174</v>
      </c>
      <c r="AG25" s="62" t="s">
        <v>293</v>
      </c>
      <c r="AH25" s="54">
        <v>0</v>
      </c>
      <c r="AI25" s="54">
        <v>1000</v>
      </c>
      <c r="AJ25" s="54"/>
      <c r="AK25" s="54"/>
      <c r="AL25" s="54"/>
      <c r="AM25" s="54">
        <v>0</v>
      </c>
      <c r="AN25" s="54">
        <v>-125</v>
      </c>
      <c r="AO25" s="54"/>
      <c r="AP25" s="54"/>
      <c r="AQ25" s="54"/>
      <c r="AR25" s="54"/>
      <c r="AS25" s="54"/>
      <c r="AT25" s="54"/>
      <c r="AU25" s="54"/>
      <c r="AV25" s="54"/>
      <c r="AW25" s="54"/>
      <c r="AX25" s="59"/>
      <c r="AY25" s="59"/>
      <c r="AZ25" s="59"/>
      <c r="BA25" s="59"/>
      <c r="BB25" s="59">
        <v>0.154</v>
      </c>
      <c r="BC25" s="60">
        <v>4.9000000000000004</v>
      </c>
      <c r="BD25" s="61">
        <v>5.1461E-2</v>
      </c>
      <c r="BE25" s="62" t="s">
        <v>293</v>
      </c>
      <c r="BF25" s="35">
        <f t="shared" si="45"/>
        <v>4.9000000000000004</v>
      </c>
      <c r="BG25" s="35">
        <f t="shared" si="45"/>
        <v>5.1461E-2</v>
      </c>
      <c r="BH25" s="35" t="str">
        <f t="shared" si="32"/>
        <v>High</v>
      </c>
      <c r="BI25" s="110">
        <f t="shared" si="33"/>
        <v>0</v>
      </c>
      <c r="BJ25" s="83">
        <f>VLOOKUP($F25,REP_Info!$D$6:$H$250,5,FALSE)</f>
        <v>1.573</v>
      </c>
      <c r="BK25" s="30">
        <f t="shared" si="34"/>
        <v>21.526100000000003</v>
      </c>
      <c r="BL25" s="30">
        <f t="shared" si="34"/>
        <v>8.5360999999999994</v>
      </c>
      <c r="BM25" s="30">
        <f t="shared" si="34"/>
        <v>14.5411</v>
      </c>
      <c r="BN25" s="29">
        <f t="shared" si="34"/>
        <v>16.542766666666669</v>
      </c>
      <c r="BO25" s="85" t="str">
        <f t="shared" si="46"/>
        <v>$$$</v>
      </c>
      <c r="BP25" s="88" t="str">
        <f t="shared" si="35"/>
        <v>$$$</v>
      </c>
      <c r="BQ25" s="88" t="str">
        <f t="shared" si="47"/>
        <v>$$$</v>
      </c>
      <c r="BR25" s="88" t="str">
        <f t="shared" si="48"/>
        <v>$$$</v>
      </c>
      <c r="BS25" s="29" t="e">
        <f t="shared" si="36"/>
        <v>#N/A</v>
      </c>
      <c r="BT25" s="29" t="e">
        <f t="shared" si="36"/>
        <v>#N/A</v>
      </c>
      <c r="BU25" s="29" t="e">
        <f t="shared" si="36"/>
        <v>#N/A</v>
      </c>
      <c r="BV25" s="29" t="e">
        <f t="shared" si="36"/>
        <v>#N/A</v>
      </c>
      <c r="BW25" s="29" t="e">
        <f t="shared" si="36"/>
        <v>#N/A</v>
      </c>
      <c r="BX25" s="29" t="e">
        <f t="shared" si="36"/>
        <v>#N/A</v>
      </c>
      <c r="BY25" s="29" t="e">
        <f t="shared" si="36"/>
        <v>#N/A</v>
      </c>
      <c r="BZ25" s="29" t="e">
        <f t="shared" si="36"/>
        <v>#N/A</v>
      </c>
      <c r="CA25" s="29" t="e">
        <f t="shared" si="36"/>
        <v>#N/A</v>
      </c>
      <c r="CB25" s="29" t="e">
        <f t="shared" si="36"/>
        <v>#N/A</v>
      </c>
      <c r="CC25" s="29" t="e">
        <f t="shared" si="36"/>
        <v>#N/A</v>
      </c>
      <c r="CD25" s="29" t="e">
        <f t="shared" si="36"/>
        <v>#N/A</v>
      </c>
      <c r="CE25" s="6" t="str">
        <f t="shared" si="37"/>
        <v/>
      </c>
      <c r="CF25" s="27" t="e">
        <f>IF(AND(CI25,NOT(AD25)),LOOKUP(CF$5,{0,750,1500},H25:J25),"")</f>
        <v>#N/A</v>
      </c>
      <c r="CG25" s="6" t="str">
        <f t="shared" si="38"/>
        <v/>
      </c>
      <c r="CH25" t="e">
        <f t="shared" si="39"/>
        <v>#N/A</v>
      </c>
      <c r="CI25" t="e">
        <f t="shared" si="40"/>
        <v>#N/A</v>
      </c>
      <c r="CJ25" s="6" t="e">
        <f t="shared" si="49"/>
        <v>#N/A</v>
      </c>
      <c r="CK25" s="6">
        <f t="shared" si="50"/>
        <v>1</v>
      </c>
      <c r="CL25" s="6">
        <f t="shared" si="51"/>
        <v>1</v>
      </c>
      <c r="CM25" s="6">
        <f t="shared" si="52"/>
        <v>1</v>
      </c>
      <c r="CN25" s="6">
        <f t="shared" si="53"/>
        <v>1</v>
      </c>
      <c r="CO25" s="6">
        <f t="shared" si="54"/>
        <v>1</v>
      </c>
      <c r="CP25" s="6">
        <f t="shared" si="55"/>
        <v>1</v>
      </c>
      <c r="CQ25" s="6">
        <f t="shared" si="41"/>
        <v>1</v>
      </c>
      <c r="CR25" s="81" t="str">
        <f t="shared" si="56"/>
        <v/>
      </c>
      <c r="CS25">
        <f t="shared" si="42"/>
        <v>0</v>
      </c>
      <c r="CT25">
        <f t="shared" si="58"/>
        <v>175</v>
      </c>
      <c r="CU25" t="str">
        <f t="shared" si="57"/>
        <v/>
      </c>
      <c r="CV25" s="81">
        <f t="shared" si="43"/>
        <v>175</v>
      </c>
      <c r="CW25" s="81">
        <f>(CV25/25)^1.5*(Calculator!$BU$4/10000)*CW$5</f>
        <v>47.821272343654172</v>
      </c>
      <c r="CX25" t="str">
        <f t="shared" si="44"/>
        <v>$175</v>
      </c>
    </row>
    <row r="26" spans="2:102" x14ac:dyDescent="0.25">
      <c r="B26" s="115" t="s">
        <v>233</v>
      </c>
      <c r="C26" s="13">
        <v>46174.569444444445</v>
      </c>
      <c r="D26">
        <v>24338</v>
      </c>
      <c r="E26" s="54" t="s">
        <v>237</v>
      </c>
      <c r="F26" s="54" t="s">
        <v>305</v>
      </c>
      <c r="G26" s="54" t="s">
        <v>320</v>
      </c>
      <c r="H26" s="55">
        <v>16.3</v>
      </c>
      <c r="I26" s="55">
        <v>15.9</v>
      </c>
      <c r="J26" s="55">
        <v>15.7</v>
      </c>
      <c r="K26" s="54"/>
      <c r="L26" s="56" t="b">
        <v>0</v>
      </c>
      <c r="M26" s="56" t="b">
        <v>0</v>
      </c>
      <c r="N26" s="54">
        <v>1</v>
      </c>
      <c r="O26" s="54" t="s">
        <v>228</v>
      </c>
      <c r="P26" s="54">
        <v>31</v>
      </c>
      <c r="Q26" s="54">
        <v>36</v>
      </c>
      <c r="R26" s="54">
        <v>175</v>
      </c>
      <c r="S26" s="54" t="s">
        <v>306</v>
      </c>
      <c r="T26" s="54" t="s">
        <v>321</v>
      </c>
      <c r="U26" s="54" t="s">
        <v>322</v>
      </c>
      <c r="V26" s="54" t="s">
        <v>308</v>
      </c>
      <c r="W26" s="54" t="b">
        <v>0</v>
      </c>
      <c r="X26" s="54"/>
      <c r="Y26" s="57" t="s">
        <v>323</v>
      </c>
      <c r="Z26" s="54" t="s">
        <v>324</v>
      </c>
      <c r="AA26" s="54"/>
      <c r="AB26" s="54" t="s">
        <v>310</v>
      </c>
      <c r="AC26" s="56" t="b">
        <v>1</v>
      </c>
      <c r="AD26" s="56" t="b">
        <v>0</v>
      </c>
      <c r="AE26" s="54" t="s">
        <v>303</v>
      </c>
      <c r="AF26" s="58">
        <v>46174</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9.2999999999999999E-2</v>
      </c>
      <c r="BC26" s="60">
        <v>4.0599999999999996</v>
      </c>
      <c r="BD26" s="61">
        <v>6.1969999999999997E-2</v>
      </c>
      <c r="BE26" s="62" t="s">
        <v>293</v>
      </c>
      <c r="BF26" s="35">
        <f t="shared" si="45"/>
        <v>4.0600000000000005</v>
      </c>
      <c r="BG26" s="35">
        <f t="shared" si="45"/>
        <v>6.0295000000000001E-2</v>
      </c>
      <c r="BH26" s="35" t="str">
        <f t="shared" si="32"/>
        <v>Low</v>
      </c>
      <c r="BI26" s="110">
        <f t="shared" si="33"/>
        <v>0</v>
      </c>
      <c r="BJ26" s="83">
        <f>VLOOKUP($F26,REP_Info!$D$6:$H$250,5,FALSE)</f>
        <v>1.573</v>
      </c>
      <c r="BK26" s="30">
        <f t="shared" si="34"/>
        <v>16.141500000000001</v>
      </c>
      <c r="BL26" s="30">
        <f t="shared" si="34"/>
        <v>15.735500000000002</v>
      </c>
      <c r="BM26" s="30">
        <f t="shared" si="34"/>
        <v>15.532499999999999</v>
      </c>
      <c r="BN26" s="29">
        <f t="shared" si="34"/>
        <v>15.464833333333333</v>
      </c>
      <c r="BO26" s="85" t="str">
        <f t="shared" si="46"/>
        <v>$$$</v>
      </c>
      <c r="BP26" s="88" t="str">
        <f t="shared" si="35"/>
        <v>$$$</v>
      </c>
      <c r="BQ26" s="88" t="str">
        <f t="shared" si="47"/>
        <v>$$$</v>
      </c>
      <c r="BR26" s="88" t="str">
        <f t="shared" si="48"/>
        <v>$$$</v>
      </c>
      <c r="BS26" s="29" t="e">
        <f t="shared" si="36"/>
        <v>#N/A</v>
      </c>
      <c r="BT26" s="29" t="e">
        <f t="shared" si="36"/>
        <v>#N/A</v>
      </c>
      <c r="BU26" s="29" t="e">
        <f t="shared" si="36"/>
        <v>#N/A</v>
      </c>
      <c r="BV26" s="29" t="e">
        <f t="shared" si="36"/>
        <v>#N/A</v>
      </c>
      <c r="BW26" s="29" t="e">
        <f t="shared" si="36"/>
        <v>#N/A</v>
      </c>
      <c r="BX26" s="29" t="e">
        <f t="shared" si="36"/>
        <v>#N/A</v>
      </c>
      <c r="BY26" s="29" t="e">
        <f t="shared" si="36"/>
        <v>#N/A</v>
      </c>
      <c r="BZ26" s="29" t="e">
        <f t="shared" si="36"/>
        <v>#N/A</v>
      </c>
      <c r="CA26" s="29" t="e">
        <f t="shared" si="36"/>
        <v>#N/A</v>
      </c>
      <c r="CB26" s="29" t="e">
        <f t="shared" si="36"/>
        <v>#N/A</v>
      </c>
      <c r="CC26" s="29" t="e">
        <f t="shared" si="36"/>
        <v>#N/A</v>
      </c>
      <c r="CD26" s="29" t="e">
        <f t="shared" si="36"/>
        <v>#N/A</v>
      </c>
      <c r="CE26" s="6" t="str">
        <f t="shared" si="37"/>
        <v/>
      </c>
      <c r="CF26" s="27" t="e">
        <f>IF(AND(CI26,NOT(AD26)),LOOKUP(CF$5,{0,750,1500},H26:J26),"")</f>
        <v>#N/A</v>
      </c>
      <c r="CG26" s="6" t="str">
        <f t="shared" si="38"/>
        <v/>
      </c>
      <c r="CH26" t="e">
        <f t="shared" si="39"/>
        <v>#N/A</v>
      </c>
      <c r="CI26" t="e">
        <f t="shared" si="40"/>
        <v>#N/A</v>
      </c>
      <c r="CJ26" s="6" t="e">
        <f t="shared" si="49"/>
        <v>#N/A</v>
      </c>
      <c r="CK26" s="6">
        <f t="shared" si="50"/>
        <v>1</v>
      </c>
      <c r="CL26" s="6">
        <f t="shared" si="51"/>
        <v>1</v>
      </c>
      <c r="CM26" s="6">
        <f t="shared" si="52"/>
        <v>1</v>
      </c>
      <c r="CN26" s="6">
        <f t="shared" si="53"/>
        <v>1</v>
      </c>
      <c r="CO26" s="6">
        <f t="shared" si="54"/>
        <v>0</v>
      </c>
      <c r="CP26" s="6">
        <f t="shared" si="55"/>
        <v>1</v>
      </c>
      <c r="CQ26" s="6">
        <f t="shared" si="41"/>
        <v>1</v>
      </c>
      <c r="CR26" s="81" t="str">
        <f t="shared" si="56"/>
        <v/>
      </c>
      <c r="CS26">
        <f t="shared" si="42"/>
        <v>0</v>
      </c>
      <c r="CT26">
        <f t="shared" si="58"/>
        <v>175</v>
      </c>
      <c r="CU26" t="str">
        <f t="shared" si="57"/>
        <v/>
      </c>
      <c r="CV26" s="81">
        <f t="shared" si="43"/>
        <v>175</v>
      </c>
      <c r="CW26" s="81">
        <f>(CV26/25)^1.5*(Calculator!$BU$4/10000)*CW$5</f>
        <v>47.821272343654172</v>
      </c>
      <c r="CX26" t="str">
        <f t="shared" si="44"/>
        <v>$175</v>
      </c>
    </row>
    <row r="27" spans="2:102" x14ac:dyDescent="0.25">
      <c r="B27" s="115" t="s">
        <v>233</v>
      </c>
      <c r="C27" s="13">
        <v>46174.569444444445</v>
      </c>
      <c r="D27">
        <v>24621</v>
      </c>
      <c r="E27" s="54" t="s">
        <v>235</v>
      </c>
      <c r="F27" s="54" t="s">
        <v>305</v>
      </c>
      <c r="G27" s="54" t="s">
        <v>320</v>
      </c>
      <c r="H27" s="55">
        <v>15.4</v>
      </c>
      <c r="I27" s="55">
        <v>14.899999999999999</v>
      </c>
      <c r="J27" s="55">
        <v>14.7</v>
      </c>
      <c r="K27" s="54"/>
      <c r="L27" s="56" t="b">
        <v>0</v>
      </c>
      <c r="M27" s="56" t="b">
        <v>0</v>
      </c>
      <c r="N27" s="54">
        <v>1</v>
      </c>
      <c r="O27" s="54" t="s">
        <v>228</v>
      </c>
      <c r="P27" s="54">
        <v>31</v>
      </c>
      <c r="Q27" s="54">
        <v>36</v>
      </c>
      <c r="R27" s="54">
        <v>175</v>
      </c>
      <c r="S27" s="54" t="s">
        <v>306</v>
      </c>
      <c r="T27" s="54" t="s">
        <v>321</v>
      </c>
      <c r="U27" s="54" t="s">
        <v>325</v>
      </c>
      <c r="V27" s="54" t="s">
        <v>308</v>
      </c>
      <c r="W27" s="54" t="b">
        <v>0</v>
      </c>
      <c r="X27" s="54"/>
      <c r="Y27" s="57" t="s">
        <v>326</v>
      </c>
      <c r="Z27" s="54" t="s">
        <v>324</v>
      </c>
      <c r="AA27" s="54"/>
      <c r="AB27" s="54" t="s">
        <v>310</v>
      </c>
      <c r="AC27" s="56" t="b">
        <v>1</v>
      </c>
      <c r="AD27" s="56" t="b">
        <v>0</v>
      </c>
      <c r="AE27" s="54" t="s">
        <v>303</v>
      </c>
      <c r="AF27" s="58">
        <v>46174</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9.2999999999999999E-2</v>
      </c>
      <c r="BC27" s="60">
        <v>4.9000000000000004</v>
      </c>
      <c r="BD27" s="61">
        <v>5.1461E-2</v>
      </c>
      <c r="BE27" s="62" t="s">
        <v>293</v>
      </c>
      <c r="BF27" s="35">
        <f t="shared" si="45"/>
        <v>4.9000000000000004</v>
      </c>
      <c r="BG27" s="35">
        <f t="shared" si="45"/>
        <v>5.1461E-2</v>
      </c>
      <c r="BH27" s="35" t="str">
        <f t="shared" si="32"/>
        <v>Low</v>
      </c>
      <c r="BI27" s="110">
        <f t="shared" si="33"/>
        <v>0</v>
      </c>
      <c r="BJ27" s="83">
        <f>VLOOKUP($F27,REP_Info!$D$6:$H$250,5,FALSE)</f>
        <v>1.573</v>
      </c>
      <c r="BK27" s="30">
        <f t="shared" si="34"/>
        <v>15.4261</v>
      </c>
      <c r="BL27" s="30">
        <f t="shared" si="34"/>
        <v>14.936099999999998</v>
      </c>
      <c r="BM27" s="30">
        <f t="shared" si="34"/>
        <v>14.6911</v>
      </c>
      <c r="BN27" s="29">
        <f t="shared" si="34"/>
        <v>14.609433333333333</v>
      </c>
      <c r="BO27" s="85" t="str">
        <f t="shared" si="46"/>
        <v>$$$</v>
      </c>
      <c r="BP27" s="88" t="str">
        <f t="shared" si="35"/>
        <v>$$$</v>
      </c>
      <c r="BQ27" s="88" t="str">
        <f t="shared" si="47"/>
        <v>$$$</v>
      </c>
      <c r="BR27" s="88" t="str">
        <f t="shared" si="48"/>
        <v>$$$</v>
      </c>
      <c r="BS27" s="29" t="e">
        <f t="shared" si="36"/>
        <v>#N/A</v>
      </c>
      <c r="BT27" s="29" t="e">
        <f t="shared" si="36"/>
        <v>#N/A</v>
      </c>
      <c r="BU27" s="29" t="e">
        <f t="shared" si="36"/>
        <v>#N/A</v>
      </c>
      <c r="BV27" s="29" t="e">
        <f t="shared" si="36"/>
        <v>#N/A</v>
      </c>
      <c r="BW27" s="29" t="e">
        <f t="shared" si="36"/>
        <v>#N/A</v>
      </c>
      <c r="BX27" s="29" t="e">
        <f t="shared" si="36"/>
        <v>#N/A</v>
      </c>
      <c r="BY27" s="29" t="e">
        <f t="shared" si="36"/>
        <v>#N/A</v>
      </c>
      <c r="BZ27" s="29" t="e">
        <f t="shared" si="36"/>
        <v>#N/A</v>
      </c>
      <c r="CA27" s="29" t="e">
        <f t="shared" si="36"/>
        <v>#N/A</v>
      </c>
      <c r="CB27" s="29" t="e">
        <f t="shared" si="36"/>
        <v>#N/A</v>
      </c>
      <c r="CC27" s="29" t="e">
        <f t="shared" si="36"/>
        <v>#N/A</v>
      </c>
      <c r="CD27" s="29" t="e">
        <f t="shared" si="36"/>
        <v>#N/A</v>
      </c>
      <c r="CE27" s="6" t="str">
        <f t="shared" si="37"/>
        <v/>
      </c>
      <c r="CF27" s="27" t="e">
        <f>IF(AND(CI27,NOT(AD27)),LOOKUP(CF$5,{0,750,1500},H27:J27),"")</f>
        <v>#N/A</v>
      </c>
      <c r="CG27" s="6" t="str">
        <f t="shared" si="38"/>
        <v/>
      </c>
      <c r="CH27" t="e">
        <f t="shared" si="39"/>
        <v>#N/A</v>
      </c>
      <c r="CI27" t="e">
        <f t="shared" si="40"/>
        <v>#N/A</v>
      </c>
      <c r="CJ27" s="6" t="e">
        <f t="shared" si="49"/>
        <v>#N/A</v>
      </c>
      <c r="CK27" s="6">
        <f t="shared" si="50"/>
        <v>1</v>
      </c>
      <c r="CL27" s="6">
        <f t="shared" si="51"/>
        <v>1</v>
      </c>
      <c r="CM27" s="6">
        <f t="shared" si="52"/>
        <v>1</v>
      </c>
      <c r="CN27" s="6">
        <f t="shared" si="53"/>
        <v>1</v>
      </c>
      <c r="CO27" s="6">
        <f t="shared" si="54"/>
        <v>0</v>
      </c>
      <c r="CP27" s="6">
        <f t="shared" si="55"/>
        <v>1</v>
      </c>
      <c r="CQ27" s="6">
        <f t="shared" si="41"/>
        <v>1</v>
      </c>
      <c r="CR27" s="81" t="str">
        <f t="shared" si="56"/>
        <v/>
      </c>
      <c r="CS27">
        <f t="shared" si="42"/>
        <v>0</v>
      </c>
      <c r="CT27">
        <f t="shared" si="58"/>
        <v>175</v>
      </c>
      <c r="CU27" t="str">
        <f t="shared" si="57"/>
        <v/>
      </c>
      <c r="CV27" s="81">
        <f t="shared" si="43"/>
        <v>175</v>
      </c>
      <c r="CW27" s="81">
        <f>(CV27/25)^1.5*(Calculator!$BU$4/10000)*CW$5</f>
        <v>47.821272343654172</v>
      </c>
      <c r="CX27" t="str">
        <f t="shared" si="44"/>
        <v>$175</v>
      </c>
    </row>
    <row r="28" spans="2:102" x14ac:dyDescent="0.25">
      <c r="B28" s="115" t="s">
        <v>233</v>
      </c>
      <c r="C28" s="13">
        <v>46174.569444444445</v>
      </c>
      <c r="D28">
        <v>31967</v>
      </c>
      <c r="E28" s="54" t="s">
        <v>237</v>
      </c>
      <c r="F28" s="54" t="s">
        <v>305</v>
      </c>
      <c r="G28" s="54" t="s">
        <v>327</v>
      </c>
      <c r="H28" s="55">
        <v>16.3</v>
      </c>
      <c r="I28" s="55">
        <v>15.9</v>
      </c>
      <c r="J28" s="55">
        <v>15.7</v>
      </c>
      <c r="K28" s="54"/>
      <c r="L28" s="56" t="b">
        <v>0</v>
      </c>
      <c r="M28" s="56" t="b">
        <v>0</v>
      </c>
      <c r="N28" s="54">
        <v>1</v>
      </c>
      <c r="O28" s="54" t="s">
        <v>228</v>
      </c>
      <c r="P28" s="54">
        <v>31</v>
      </c>
      <c r="Q28" s="54">
        <v>24</v>
      </c>
      <c r="R28" s="54">
        <v>175</v>
      </c>
      <c r="S28" s="54" t="s">
        <v>306</v>
      </c>
      <c r="T28" s="54" t="s">
        <v>321</v>
      </c>
      <c r="U28" s="54" t="s">
        <v>328</v>
      </c>
      <c r="V28" s="54" t="s">
        <v>308</v>
      </c>
      <c r="W28" s="54" t="b">
        <v>0</v>
      </c>
      <c r="X28" s="54"/>
      <c r="Y28" s="57" t="s">
        <v>329</v>
      </c>
      <c r="Z28" s="54" t="s">
        <v>324</v>
      </c>
      <c r="AA28" s="54"/>
      <c r="AB28" s="54" t="s">
        <v>310</v>
      </c>
      <c r="AC28" s="56" t="b">
        <v>1</v>
      </c>
      <c r="AD28" s="56" t="b">
        <v>0</v>
      </c>
      <c r="AE28" s="54" t="s">
        <v>303</v>
      </c>
      <c r="AF28" s="58">
        <v>46174</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9.2999999999999999E-2</v>
      </c>
      <c r="BC28" s="60">
        <v>4.0599999999999996</v>
      </c>
      <c r="BD28" s="61">
        <v>6.1969999999999997E-2</v>
      </c>
      <c r="BE28" s="62" t="s">
        <v>293</v>
      </c>
      <c r="BF28" s="35">
        <f t="shared" si="45"/>
        <v>4.0600000000000005</v>
      </c>
      <c r="BG28" s="35">
        <f t="shared" si="45"/>
        <v>6.0295000000000001E-2</v>
      </c>
      <c r="BH28" s="35" t="str">
        <f t="shared" si="32"/>
        <v>Low</v>
      </c>
      <c r="BI28" s="110">
        <f t="shared" si="33"/>
        <v>0</v>
      </c>
      <c r="BJ28" s="83">
        <f>VLOOKUP($F28,REP_Info!$D$6:$H$250,5,FALSE)</f>
        <v>1.573</v>
      </c>
      <c r="BK28" s="30">
        <f t="shared" si="34"/>
        <v>16.141500000000001</v>
      </c>
      <c r="BL28" s="30">
        <f t="shared" si="34"/>
        <v>15.735500000000002</v>
      </c>
      <c r="BM28" s="30">
        <f t="shared" si="34"/>
        <v>15.532499999999999</v>
      </c>
      <c r="BN28" s="29">
        <f t="shared" si="34"/>
        <v>15.464833333333333</v>
      </c>
      <c r="BO28" s="85" t="str">
        <f t="shared" si="46"/>
        <v>$$$</v>
      </c>
      <c r="BP28" s="88" t="str">
        <f t="shared" si="35"/>
        <v>$$$</v>
      </c>
      <c r="BQ28" s="88" t="str">
        <f t="shared" si="47"/>
        <v>$$$</v>
      </c>
      <c r="BR28" s="88" t="str">
        <f t="shared" si="48"/>
        <v>$$$</v>
      </c>
      <c r="BS28" s="29" t="e">
        <f t="shared" si="36"/>
        <v>#N/A</v>
      </c>
      <c r="BT28" s="29" t="e">
        <f t="shared" si="36"/>
        <v>#N/A</v>
      </c>
      <c r="BU28" s="29" t="e">
        <f t="shared" si="36"/>
        <v>#N/A</v>
      </c>
      <c r="BV28" s="29" t="e">
        <f t="shared" si="36"/>
        <v>#N/A</v>
      </c>
      <c r="BW28" s="29" t="e">
        <f t="shared" si="36"/>
        <v>#N/A</v>
      </c>
      <c r="BX28" s="29" t="e">
        <f t="shared" si="36"/>
        <v>#N/A</v>
      </c>
      <c r="BY28" s="29" t="e">
        <f t="shared" si="36"/>
        <v>#N/A</v>
      </c>
      <c r="BZ28" s="29" t="e">
        <f t="shared" si="36"/>
        <v>#N/A</v>
      </c>
      <c r="CA28" s="29" t="e">
        <f t="shared" si="36"/>
        <v>#N/A</v>
      </c>
      <c r="CB28" s="29" t="e">
        <f t="shared" si="36"/>
        <v>#N/A</v>
      </c>
      <c r="CC28" s="29" t="e">
        <f t="shared" si="36"/>
        <v>#N/A</v>
      </c>
      <c r="CD28" s="29" t="e">
        <f t="shared" si="36"/>
        <v>#N/A</v>
      </c>
      <c r="CE28" s="6" t="str">
        <f t="shared" si="37"/>
        <v/>
      </c>
      <c r="CF28" s="27" t="e">
        <f>IF(AND(CI28,NOT(AD28)),LOOKUP(CF$5,{0,750,1500},H28:J28),"")</f>
        <v>#N/A</v>
      </c>
      <c r="CG28" s="6" t="str">
        <f t="shared" si="38"/>
        <v/>
      </c>
      <c r="CH28" t="e">
        <f t="shared" si="39"/>
        <v>#N/A</v>
      </c>
      <c r="CI28" t="e">
        <f t="shared" si="40"/>
        <v>#N/A</v>
      </c>
      <c r="CJ28" s="6" t="e">
        <f t="shared" si="49"/>
        <v>#N/A</v>
      </c>
      <c r="CK28" s="6">
        <f t="shared" si="50"/>
        <v>1</v>
      </c>
      <c r="CL28" s="6">
        <f t="shared" si="51"/>
        <v>1</v>
      </c>
      <c r="CM28" s="6">
        <f t="shared" si="52"/>
        <v>1</v>
      </c>
      <c r="CN28" s="6">
        <f t="shared" si="53"/>
        <v>1</v>
      </c>
      <c r="CO28" s="6">
        <f t="shared" si="54"/>
        <v>0</v>
      </c>
      <c r="CP28" s="6">
        <f t="shared" si="55"/>
        <v>1</v>
      </c>
      <c r="CQ28" s="6">
        <f t="shared" si="41"/>
        <v>1</v>
      </c>
      <c r="CR28" s="81" t="str">
        <f t="shared" si="56"/>
        <v/>
      </c>
      <c r="CS28">
        <f t="shared" si="42"/>
        <v>0</v>
      </c>
      <c r="CT28">
        <f t="shared" si="58"/>
        <v>175</v>
      </c>
      <c r="CU28" t="str">
        <f t="shared" si="57"/>
        <v/>
      </c>
      <c r="CV28" s="81">
        <f t="shared" si="43"/>
        <v>175</v>
      </c>
      <c r="CW28" s="81">
        <f>(CV28/25)^1.5*(Calculator!$BU$4/10000)*CW$5</f>
        <v>47.821272343654172</v>
      </c>
      <c r="CX28" t="str">
        <f t="shared" si="44"/>
        <v>$175</v>
      </c>
    </row>
    <row r="29" spans="2:102" x14ac:dyDescent="0.25">
      <c r="B29" s="115" t="s">
        <v>233</v>
      </c>
      <c r="C29" s="13">
        <v>46174.569444444445</v>
      </c>
      <c r="D29">
        <v>31969</v>
      </c>
      <c r="E29" s="54" t="s">
        <v>235</v>
      </c>
      <c r="F29" s="54" t="s">
        <v>305</v>
      </c>
      <c r="G29" s="54" t="s">
        <v>327</v>
      </c>
      <c r="H29" s="55">
        <v>15.4</v>
      </c>
      <c r="I29" s="55">
        <v>14.899999999999999</v>
      </c>
      <c r="J29" s="55">
        <v>14.7</v>
      </c>
      <c r="K29" s="54"/>
      <c r="L29" s="56" t="b">
        <v>0</v>
      </c>
      <c r="M29" s="56" t="b">
        <v>0</v>
      </c>
      <c r="N29" s="54">
        <v>1</v>
      </c>
      <c r="O29" s="54" t="s">
        <v>228</v>
      </c>
      <c r="P29" s="54">
        <v>31</v>
      </c>
      <c r="Q29" s="54">
        <v>24</v>
      </c>
      <c r="R29" s="54">
        <v>175</v>
      </c>
      <c r="S29" s="54" t="s">
        <v>306</v>
      </c>
      <c r="T29" s="54" t="s">
        <v>321</v>
      </c>
      <c r="U29" s="54" t="s">
        <v>330</v>
      </c>
      <c r="V29" s="54" t="s">
        <v>308</v>
      </c>
      <c r="W29" s="54" t="b">
        <v>0</v>
      </c>
      <c r="X29" s="54"/>
      <c r="Y29" s="57" t="s">
        <v>331</v>
      </c>
      <c r="Z29" s="54" t="s">
        <v>324</v>
      </c>
      <c r="AA29" s="54"/>
      <c r="AB29" s="54" t="s">
        <v>310</v>
      </c>
      <c r="AC29" s="56" t="b">
        <v>1</v>
      </c>
      <c r="AD29" s="56" t="b">
        <v>0</v>
      </c>
      <c r="AE29" s="54" t="s">
        <v>303</v>
      </c>
      <c r="AF29" s="58">
        <v>46174</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45"/>
        <v>4.9000000000000004</v>
      </c>
      <c r="BG29" s="35">
        <f t="shared" si="45"/>
        <v>5.1461E-2</v>
      </c>
      <c r="BH29" s="35" t="str">
        <f t="shared" si="32"/>
        <v>Low</v>
      </c>
      <c r="BI29" s="110">
        <f t="shared" si="33"/>
        <v>0</v>
      </c>
      <c r="BJ29" s="83">
        <f>VLOOKUP($F29,REP_Info!$D$6:$H$250,5,FALSE)</f>
        <v>1.573</v>
      </c>
      <c r="BK29" s="30">
        <f t="shared" si="34"/>
        <v>15.4261</v>
      </c>
      <c r="BL29" s="30">
        <f t="shared" si="34"/>
        <v>14.936099999999998</v>
      </c>
      <c r="BM29" s="30">
        <f t="shared" si="34"/>
        <v>14.6911</v>
      </c>
      <c r="BN29" s="29">
        <f t="shared" si="34"/>
        <v>14.609433333333333</v>
      </c>
      <c r="BO29" s="85" t="str">
        <f t="shared" si="46"/>
        <v>$$$</v>
      </c>
      <c r="BP29" s="88" t="str">
        <f t="shared" si="35"/>
        <v>$$$</v>
      </c>
      <c r="BQ29" s="88" t="str">
        <f t="shared" si="47"/>
        <v>$$$</v>
      </c>
      <c r="BR29" s="88" t="str">
        <f t="shared" si="48"/>
        <v>$$$</v>
      </c>
      <c r="BS29" s="29" t="e">
        <f t="shared" si="36"/>
        <v>#N/A</v>
      </c>
      <c r="BT29" s="29" t="e">
        <f t="shared" si="36"/>
        <v>#N/A</v>
      </c>
      <c r="BU29" s="29" t="e">
        <f t="shared" si="36"/>
        <v>#N/A</v>
      </c>
      <c r="BV29" s="29" t="e">
        <f t="shared" si="36"/>
        <v>#N/A</v>
      </c>
      <c r="BW29" s="29" t="e">
        <f t="shared" si="36"/>
        <v>#N/A</v>
      </c>
      <c r="BX29" s="29" t="e">
        <f t="shared" si="36"/>
        <v>#N/A</v>
      </c>
      <c r="BY29" s="29" t="e">
        <f t="shared" si="36"/>
        <v>#N/A</v>
      </c>
      <c r="BZ29" s="29" t="e">
        <f t="shared" si="36"/>
        <v>#N/A</v>
      </c>
      <c r="CA29" s="29" t="e">
        <f t="shared" si="36"/>
        <v>#N/A</v>
      </c>
      <c r="CB29" s="29" t="e">
        <f t="shared" si="36"/>
        <v>#N/A</v>
      </c>
      <c r="CC29" s="29" t="e">
        <f t="shared" si="36"/>
        <v>#N/A</v>
      </c>
      <c r="CD29" s="29" t="e">
        <f t="shared" si="36"/>
        <v>#N/A</v>
      </c>
      <c r="CE29" s="6" t="str">
        <f t="shared" si="37"/>
        <v/>
      </c>
      <c r="CF29" s="27" t="e">
        <f>IF(AND(CI29,NOT(AD29)),LOOKUP(CF$5,{0,750,1500},H29:J29),"")</f>
        <v>#N/A</v>
      </c>
      <c r="CG29" s="6" t="str">
        <f t="shared" si="38"/>
        <v/>
      </c>
      <c r="CH29" t="e">
        <f t="shared" si="39"/>
        <v>#N/A</v>
      </c>
      <c r="CI29" t="e">
        <f t="shared" si="40"/>
        <v>#N/A</v>
      </c>
      <c r="CJ29" s="6" t="e">
        <f t="shared" si="49"/>
        <v>#N/A</v>
      </c>
      <c r="CK29" s="6">
        <f t="shared" si="50"/>
        <v>1</v>
      </c>
      <c r="CL29" s="6">
        <f t="shared" si="51"/>
        <v>1</v>
      </c>
      <c r="CM29" s="6">
        <f t="shared" si="52"/>
        <v>1</v>
      </c>
      <c r="CN29" s="6">
        <f t="shared" si="53"/>
        <v>1</v>
      </c>
      <c r="CO29" s="6">
        <f t="shared" si="54"/>
        <v>0</v>
      </c>
      <c r="CP29" s="6">
        <f t="shared" si="55"/>
        <v>1</v>
      </c>
      <c r="CQ29" s="6">
        <f t="shared" si="41"/>
        <v>1</v>
      </c>
      <c r="CR29" s="81" t="str">
        <f t="shared" si="56"/>
        <v/>
      </c>
      <c r="CS29">
        <f t="shared" si="42"/>
        <v>0</v>
      </c>
      <c r="CT29">
        <f t="shared" si="58"/>
        <v>175</v>
      </c>
      <c r="CU29" t="str">
        <f t="shared" si="57"/>
        <v/>
      </c>
      <c r="CV29" s="81">
        <f t="shared" si="43"/>
        <v>175</v>
      </c>
      <c r="CW29" s="81">
        <f>(CV29/25)^1.5*(Calculator!$BU$4/10000)*CW$5</f>
        <v>47.821272343654172</v>
      </c>
      <c r="CX29" t="str">
        <f t="shared" si="44"/>
        <v>$175</v>
      </c>
    </row>
    <row r="30" spans="2:102" x14ac:dyDescent="0.25">
      <c r="B30" s="115" t="s">
        <v>233</v>
      </c>
      <c r="C30" s="13">
        <v>46237.767361111109</v>
      </c>
      <c r="D30">
        <v>33198</v>
      </c>
      <c r="E30" s="54" t="s">
        <v>235</v>
      </c>
      <c r="F30" s="54" t="s">
        <v>332</v>
      </c>
      <c r="G30" s="54" t="s">
        <v>333</v>
      </c>
      <c r="H30" s="55">
        <v>11.899999999999999</v>
      </c>
      <c r="I30" s="55">
        <v>11.4</v>
      </c>
      <c r="J30" s="55">
        <v>11.200000000000001</v>
      </c>
      <c r="K30" s="54"/>
      <c r="L30" s="56" t="b">
        <v>0</v>
      </c>
      <c r="M30" s="56" t="b">
        <v>0</v>
      </c>
      <c r="N30" s="54">
        <v>1</v>
      </c>
      <c r="O30" s="54" t="s">
        <v>228</v>
      </c>
      <c r="P30" s="54">
        <v>6</v>
      </c>
      <c r="Q30" s="54">
        <v>12</v>
      </c>
      <c r="R30" s="54">
        <v>150</v>
      </c>
      <c r="S30" s="54" t="s">
        <v>334</v>
      </c>
      <c r="T30" s="54" t="s">
        <v>335</v>
      </c>
      <c r="U30" s="54" t="s">
        <v>336</v>
      </c>
      <c r="V30" s="54" t="s">
        <v>337</v>
      </c>
      <c r="W30" s="54" t="b">
        <v>0</v>
      </c>
      <c r="X30" s="54"/>
      <c r="Y30" s="57" t="s">
        <v>338</v>
      </c>
      <c r="Z30" s="54" t="s">
        <v>1616</v>
      </c>
      <c r="AA30" s="54"/>
      <c r="AB30" s="54" t="s">
        <v>339</v>
      </c>
      <c r="AC30" s="56" t="b">
        <v>1</v>
      </c>
      <c r="AD30" s="56" t="b">
        <v>0</v>
      </c>
      <c r="AE30" s="54" t="s">
        <v>303</v>
      </c>
      <c r="AF30" s="58">
        <v>46237</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5.7639999999999997E-2</v>
      </c>
      <c r="BC30" s="60">
        <v>4.9000000000000004</v>
      </c>
      <c r="BD30" s="61">
        <v>5.1461E-2</v>
      </c>
      <c r="BE30" s="62" t="s">
        <v>293</v>
      </c>
      <c r="BF30" s="35">
        <f t="shared" si="45"/>
        <v>4.9000000000000004</v>
      </c>
      <c r="BG30" s="35">
        <f t="shared" si="45"/>
        <v>5.1461E-2</v>
      </c>
      <c r="BH30" s="35" t="str">
        <f t="shared" si="32"/>
        <v>Low</v>
      </c>
      <c r="BI30" s="110">
        <f t="shared" si="33"/>
        <v>0</v>
      </c>
      <c r="BJ30" s="83">
        <f>VLOOKUP($F30,REP_Info!$D$6:$H$250,5,FALSE)</f>
        <v>2.0139999999999998</v>
      </c>
      <c r="BK30" s="30">
        <f t="shared" si="34"/>
        <v>11.8901</v>
      </c>
      <c r="BL30" s="30">
        <f t="shared" si="34"/>
        <v>11.400099999999998</v>
      </c>
      <c r="BM30" s="30">
        <f t="shared" si="34"/>
        <v>11.155099999999999</v>
      </c>
      <c r="BN30" s="29">
        <f t="shared" si="34"/>
        <v>11.073433333333332</v>
      </c>
      <c r="BO30" s="85" t="str">
        <f t="shared" si="46"/>
        <v>$$$</v>
      </c>
      <c r="BP30" s="88" t="str">
        <f t="shared" si="35"/>
        <v>$$$</v>
      </c>
      <c r="BQ30" s="88" t="str">
        <f t="shared" si="47"/>
        <v>$$$</v>
      </c>
      <c r="BR30" s="88" t="str">
        <f t="shared" si="48"/>
        <v>$$$</v>
      </c>
      <c r="BS30" s="29" t="e">
        <f t="shared" si="36"/>
        <v>#N/A</v>
      </c>
      <c r="BT30" s="29" t="e">
        <f t="shared" si="36"/>
        <v>#N/A</v>
      </c>
      <c r="BU30" s="29" t="e">
        <f t="shared" si="36"/>
        <v>#N/A</v>
      </c>
      <c r="BV30" s="29" t="e">
        <f t="shared" si="36"/>
        <v>#N/A</v>
      </c>
      <c r="BW30" s="29" t="e">
        <f t="shared" si="36"/>
        <v>#N/A</v>
      </c>
      <c r="BX30" s="29" t="e">
        <f t="shared" si="36"/>
        <v>#N/A</v>
      </c>
      <c r="BY30" s="29" t="e">
        <f t="shared" si="36"/>
        <v>#N/A</v>
      </c>
      <c r="BZ30" s="29" t="e">
        <f t="shared" si="36"/>
        <v>#N/A</v>
      </c>
      <c r="CA30" s="29" t="e">
        <f t="shared" si="36"/>
        <v>#N/A</v>
      </c>
      <c r="CB30" s="29" t="e">
        <f t="shared" si="36"/>
        <v>#N/A</v>
      </c>
      <c r="CC30" s="29" t="e">
        <f t="shared" si="36"/>
        <v>#N/A</v>
      </c>
      <c r="CD30" s="29" t="e">
        <f t="shared" si="36"/>
        <v>#N/A</v>
      </c>
      <c r="CE30" s="6" t="str">
        <f t="shared" si="37"/>
        <v/>
      </c>
      <c r="CF30" s="27" t="e">
        <f>IF(AND(CI30,NOT(AD30)),LOOKUP(CF$5,{0,750,1500},H30:J30),"")</f>
        <v>#N/A</v>
      </c>
      <c r="CG30" s="6" t="str">
        <f t="shared" si="38"/>
        <v/>
      </c>
      <c r="CH30" t="e">
        <f t="shared" si="39"/>
        <v>#N/A</v>
      </c>
      <c r="CI30" t="e">
        <f t="shared" si="40"/>
        <v>#N/A</v>
      </c>
      <c r="CJ30" s="6" t="e">
        <f t="shared" si="49"/>
        <v>#N/A</v>
      </c>
      <c r="CK30" s="6">
        <f t="shared" si="50"/>
        <v>1</v>
      </c>
      <c r="CL30" s="6">
        <f t="shared" si="51"/>
        <v>1</v>
      </c>
      <c r="CM30" s="6">
        <f t="shared" si="52"/>
        <v>1</v>
      </c>
      <c r="CN30" s="6">
        <f t="shared" si="53"/>
        <v>1</v>
      </c>
      <c r="CO30" s="6">
        <f t="shared" si="54"/>
        <v>1</v>
      </c>
      <c r="CP30" s="6">
        <f t="shared" si="55"/>
        <v>1</v>
      </c>
      <c r="CQ30" s="6">
        <f t="shared" si="41"/>
        <v>1</v>
      </c>
      <c r="CR30" s="81" t="str">
        <f t="shared" si="56"/>
        <v/>
      </c>
      <c r="CS30">
        <f t="shared" si="42"/>
        <v>0</v>
      </c>
      <c r="CT30">
        <f t="shared" si="58"/>
        <v>150</v>
      </c>
      <c r="CU30" t="str">
        <f t="shared" si="57"/>
        <v/>
      </c>
      <c r="CV30" s="81">
        <f t="shared" si="43"/>
        <v>150</v>
      </c>
      <c r="CW30" s="81">
        <f>(CV30/25)^1.5*(Calculator!$BU$4/10000)*CW$5</f>
        <v>37.949052970673385</v>
      </c>
      <c r="CX30" t="str">
        <f t="shared" si="44"/>
        <v>$150</v>
      </c>
    </row>
    <row r="31" spans="2:102" x14ac:dyDescent="0.25">
      <c r="B31" s="115" t="s">
        <v>233</v>
      </c>
      <c r="C31" s="13">
        <v>46230.89166666667</v>
      </c>
      <c r="D31">
        <v>33210</v>
      </c>
      <c r="E31" s="54" t="s">
        <v>237</v>
      </c>
      <c r="F31" s="54" t="s">
        <v>332</v>
      </c>
      <c r="G31" s="54" t="s">
        <v>333</v>
      </c>
      <c r="H31" s="55">
        <v>12.6</v>
      </c>
      <c r="I31" s="55">
        <v>12.2</v>
      </c>
      <c r="J31" s="55">
        <v>12</v>
      </c>
      <c r="K31" s="54"/>
      <c r="L31" s="56" t="b">
        <v>0</v>
      </c>
      <c r="M31" s="56" t="b">
        <v>0</v>
      </c>
      <c r="N31" s="54">
        <v>1</v>
      </c>
      <c r="O31" s="54" t="s">
        <v>228</v>
      </c>
      <c r="P31" s="54">
        <v>6</v>
      </c>
      <c r="Q31" s="54">
        <v>12</v>
      </c>
      <c r="R31" s="54">
        <v>150</v>
      </c>
      <c r="S31" s="54" t="s">
        <v>334</v>
      </c>
      <c r="T31" s="54" t="s">
        <v>335</v>
      </c>
      <c r="U31" s="54" t="s">
        <v>340</v>
      </c>
      <c r="V31" s="54" t="s">
        <v>341</v>
      </c>
      <c r="W31" s="54" t="b">
        <v>0</v>
      </c>
      <c r="X31" s="54"/>
      <c r="Y31" s="57" t="s">
        <v>342</v>
      </c>
      <c r="Z31" s="54" t="s">
        <v>343</v>
      </c>
      <c r="AA31" s="54"/>
      <c r="AB31" s="54" t="s">
        <v>339</v>
      </c>
      <c r="AC31" s="56" t="b">
        <v>1</v>
      </c>
      <c r="AD31" s="56" t="b">
        <v>0</v>
      </c>
      <c r="AE31" s="54" t="s">
        <v>303</v>
      </c>
      <c r="AF31" s="58">
        <v>46230</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5.6739999999999999E-2</v>
      </c>
      <c r="BC31" s="60">
        <v>4.0599999999999996</v>
      </c>
      <c r="BD31" s="61">
        <v>6.1196E-2</v>
      </c>
      <c r="BE31" s="62" t="s">
        <v>293</v>
      </c>
      <c r="BF31" s="35">
        <f t="shared" si="45"/>
        <v>4.0600000000000005</v>
      </c>
      <c r="BG31" s="35">
        <f t="shared" si="45"/>
        <v>6.0295000000000001E-2</v>
      </c>
      <c r="BH31" s="35" t="str">
        <f t="shared" si="32"/>
        <v>Low</v>
      </c>
      <c r="BI31" s="110">
        <f t="shared" si="33"/>
        <v>0</v>
      </c>
      <c r="BJ31" s="83">
        <f>VLOOKUP($F31,REP_Info!$D$6:$H$250,5,FALSE)</f>
        <v>2.0139999999999998</v>
      </c>
      <c r="BK31" s="30">
        <f t="shared" si="34"/>
        <v>12.515499999999999</v>
      </c>
      <c r="BL31" s="30">
        <f t="shared" si="34"/>
        <v>12.109500000000001</v>
      </c>
      <c r="BM31" s="30">
        <f t="shared" si="34"/>
        <v>11.906499999999999</v>
      </c>
      <c r="BN31" s="29">
        <f t="shared" si="34"/>
        <v>11.838833333333334</v>
      </c>
      <c r="BO31" s="85" t="str">
        <f t="shared" si="46"/>
        <v>$$$</v>
      </c>
      <c r="BP31" s="88" t="str">
        <f t="shared" si="35"/>
        <v>$$$</v>
      </c>
      <c r="BQ31" s="88" t="str">
        <f t="shared" si="47"/>
        <v>$$$</v>
      </c>
      <c r="BR31" s="88" t="str">
        <f t="shared" si="48"/>
        <v>$$$</v>
      </c>
      <c r="BS31" s="29" t="e">
        <f t="shared" si="36"/>
        <v>#N/A</v>
      </c>
      <c r="BT31" s="29" t="e">
        <f t="shared" si="36"/>
        <v>#N/A</v>
      </c>
      <c r="BU31" s="29" t="e">
        <f t="shared" si="36"/>
        <v>#N/A</v>
      </c>
      <c r="BV31" s="29" t="e">
        <f t="shared" ref="BS31:CD35" si="59">IF($CI31,IF(BV$7&gt;0,IF(BV$4&gt;$Q31,$BF31+BV$7*(BV$5+$BG31+$BI31),LOOKUP(BV$7,$AH31:$AL31,$AM31:$AQ31)+IF($AG31="Y",SUMPRODUCT($AX31:$BB31-$AW31:$BA31,BV$7-$AR31:$AV31,N(BV$7&gt;$AR31:$AV31)),BV$7*LOOKUP(BV$7,$AR31:$AV31,$AX31:$BB31))+IF($BE31="Y",$BF31,$BC31)+BV$7*IF($BE31="Y",$BG31,$BD31))*100/BV$7,""),NA())</f>
        <v>#N/A</v>
      </c>
      <c r="BW31" s="29" t="e">
        <f t="shared" si="59"/>
        <v>#N/A</v>
      </c>
      <c r="BX31" s="29" t="e">
        <f t="shared" si="59"/>
        <v>#N/A</v>
      </c>
      <c r="BY31" s="29" t="e">
        <f t="shared" si="59"/>
        <v>#N/A</v>
      </c>
      <c r="BZ31" s="29" t="e">
        <f t="shared" si="59"/>
        <v>#N/A</v>
      </c>
      <c r="CA31" s="29" t="e">
        <f t="shared" si="59"/>
        <v>#N/A</v>
      </c>
      <c r="CB31" s="29" t="e">
        <f t="shared" si="59"/>
        <v>#N/A</v>
      </c>
      <c r="CC31" s="29" t="e">
        <f t="shared" si="59"/>
        <v>#N/A</v>
      </c>
      <c r="CD31" s="29" t="e">
        <f t="shared" si="59"/>
        <v>#N/A</v>
      </c>
      <c r="CE31" s="6" t="str">
        <f t="shared" si="37"/>
        <v/>
      </c>
      <c r="CF31" s="27" t="e">
        <f>IF(AND(CI31,NOT(AD31)),LOOKUP(CF$5,{0,750,1500},H31:J31),"")</f>
        <v>#N/A</v>
      </c>
      <c r="CG31" s="6" t="str">
        <f t="shared" si="38"/>
        <v/>
      </c>
      <c r="CH31" t="e">
        <f t="shared" si="39"/>
        <v>#N/A</v>
      </c>
      <c r="CI31" t="e">
        <f t="shared" si="40"/>
        <v>#N/A</v>
      </c>
      <c r="CJ31" s="6" t="e">
        <f t="shared" si="49"/>
        <v>#N/A</v>
      </c>
      <c r="CK31" s="6">
        <f t="shared" si="50"/>
        <v>1</v>
      </c>
      <c r="CL31" s="6">
        <f t="shared" si="51"/>
        <v>1</v>
      </c>
      <c r="CM31" s="6">
        <f t="shared" si="52"/>
        <v>1</v>
      </c>
      <c r="CN31" s="6">
        <f t="shared" si="53"/>
        <v>1</v>
      </c>
      <c r="CO31" s="6">
        <f t="shared" si="54"/>
        <v>1</v>
      </c>
      <c r="CP31" s="6">
        <f t="shared" si="55"/>
        <v>1</v>
      </c>
      <c r="CQ31" s="6">
        <f t="shared" si="41"/>
        <v>1</v>
      </c>
      <c r="CR31" s="81" t="str">
        <f t="shared" si="56"/>
        <v/>
      </c>
      <c r="CS31">
        <f t="shared" si="42"/>
        <v>0</v>
      </c>
      <c r="CT31">
        <f t="shared" si="58"/>
        <v>150</v>
      </c>
      <c r="CU31" t="str">
        <f t="shared" si="57"/>
        <v/>
      </c>
      <c r="CV31" s="81">
        <f t="shared" si="43"/>
        <v>150</v>
      </c>
      <c r="CW31" s="81">
        <f>(CV31/25)^1.5*(Calculator!$BU$4/10000)*CW$5</f>
        <v>37.949052970673385</v>
      </c>
      <c r="CX31" t="str">
        <f t="shared" si="44"/>
        <v>$150</v>
      </c>
    </row>
    <row r="32" spans="2:102" x14ac:dyDescent="0.25">
      <c r="B32" s="115" t="s">
        <v>233</v>
      </c>
      <c r="C32" s="13">
        <v>46237.767361111109</v>
      </c>
      <c r="D32">
        <v>33348</v>
      </c>
      <c r="E32" s="54" t="s">
        <v>235</v>
      </c>
      <c r="F32" s="54" t="s">
        <v>332</v>
      </c>
      <c r="G32" s="54" t="s">
        <v>344</v>
      </c>
      <c r="H32" s="55">
        <v>12.6</v>
      </c>
      <c r="I32" s="55">
        <v>12.1</v>
      </c>
      <c r="J32" s="55">
        <v>11.899999999999999</v>
      </c>
      <c r="K32" s="54"/>
      <c r="L32" s="56" t="b">
        <v>0</v>
      </c>
      <c r="M32" s="56" t="b">
        <v>0</v>
      </c>
      <c r="N32" s="54">
        <v>1</v>
      </c>
      <c r="O32" s="54" t="s">
        <v>228</v>
      </c>
      <c r="P32" s="54">
        <v>6</v>
      </c>
      <c r="Q32" s="54">
        <v>24</v>
      </c>
      <c r="R32" s="54">
        <v>250</v>
      </c>
      <c r="S32" s="54" t="s">
        <v>334</v>
      </c>
      <c r="T32" s="54" t="s">
        <v>345</v>
      </c>
      <c r="U32" s="54" t="s">
        <v>346</v>
      </c>
      <c r="V32" s="54" t="s">
        <v>347</v>
      </c>
      <c r="W32" s="54" t="b">
        <v>0</v>
      </c>
      <c r="X32" s="54"/>
      <c r="Y32" s="57" t="s">
        <v>348</v>
      </c>
      <c r="Z32" s="54" t="s">
        <v>349</v>
      </c>
      <c r="AA32" s="54"/>
      <c r="AB32" s="54" t="s">
        <v>339</v>
      </c>
      <c r="AC32" s="56" t="b">
        <v>1</v>
      </c>
      <c r="AD32" s="56" t="b">
        <v>0</v>
      </c>
      <c r="AE32" s="54" t="s">
        <v>303</v>
      </c>
      <c r="AF32" s="58">
        <v>46237</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6.4640000000000003E-2</v>
      </c>
      <c r="BC32" s="60">
        <v>4.9000000000000004</v>
      </c>
      <c r="BD32" s="61">
        <v>5.1461E-2</v>
      </c>
      <c r="BE32" s="62" t="s">
        <v>293</v>
      </c>
      <c r="BF32" s="35">
        <f t="shared" si="45"/>
        <v>4.9000000000000004</v>
      </c>
      <c r="BG32" s="35">
        <f t="shared" si="45"/>
        <v>5.1461E-2</v>
      </c>
      <c r="BH32" s="35" t="str">
        <f t="shared" si="32"/>
        <v>Low</v>
      </c>
      <c r="BI32" s="110">
        <f t="shared" si="33"/>
        <v>0</v>
      </c>
      <c r="BJ32" s="83">
        <f>VLOOKUP($F32,REP_Info!$D$6:$H$250,5,FALSE)</f>
        <v>2.0139999999999998</v>
      </c>
      <c r="BK32" s="30">
        <f t="shared" si="34"/>
        <v>12.5901</v>
      </c>
      <c r="BL32" s="30">
        <f t="shared" si="34"/>
        <v>12.100100000000001</v>
      </c>
      <c r="BM32" s="30">
        <f t="shared" si="34"/>
        <v>11.8551</v>
      </c>
      <c r="BN32" s="29">
        <f t="shared" si="34"/>
        <v>11.773433333333335</v>
      </c>
      <c r="BO32" s="85" t="str">
        <f t="shared" si="46"/>
        <v>$$$</v>
      </c>
      <c r="BP32" s="88" t="str">
        <f t="shared" si="35"/>
        <v>$$$</v>
      </c>
      <c r="BQ32" s="88" t="str">
        <f t="shared" si="47"/>
        <v>$$$</v>
      </c>
      <c r="BR32" s="88" t="str">
        <f t="shared" si="48"/>
        <v>$$$</v>
      </c>
      <c r="BS32" s="29" t="e">
        <f t="shared" si="59"/>
        <v>#N/A</v>
      </c>
      <c r="BT32" s="29" t="e">
        <f t="shared" si="59"/>
        <v>#N/A</v>
      </c>
      <c r="BU32" s="29" t="e">
        <f t="shared" si="59"/>
        <v>#N/A</v>
      </c>
      <c r="BV32" s="29" t="e">
        <f t="shared" si="59"/>
        <v>#N/A</v>
      </c>
      <c r="BW32" s="29" t="e">
        <f t="shared" si="59"/>
        <v>#N/A</v>
      </c>
      <c r="BX32" s="29" t="e">
        <f t="shared" si="59"/>
        <v>#N/A</v>
      </c>
      <c r="BY32" s="29" t="e">
        <f t="shared" si="59"/>
        <v>#N/A</v>
      </c>
      <c r="BZ32" s="29" t="e">
        <f t="shared" si="59"/>
        <v>#N/A</v>
      </c>
      <c r="CA32" s="29" t="e">
        <f t="shared" si="59"/>
        <v>#N/A</v>
      </c>
      <c r="CB32" s="29" t="e">
        <f t="shared" si="59"/>
        <v>#N/A</v>
      </c>
      <c r="CC32" s="29" t="e">
        <f t="shared" si="59"/>
        <v>#N/A</v>
      </c>
      <c r="CD32" s="29" t="e">
        <f t="shared" si="59"/>
        <v>#N/A</v>
      </c>
      <c r="CE32" s="6" t="str">
        <f t="shared" si="37"/>
        <v/>
      </c>
      <c r="CF32" s="27" t="e">
        <f>IF(AND(CI32,NOT(AD32)),LOOKUP(CF$5,{0,750,1500},H32:J32),"")</f>
        <v>#N/A</v>
      </c>
      <c r="CG32" s="6" t="str">
        <f t="shared" si="38"/>
        <v/>
      </c>
      <c r="CH32" t="e">
        <f t="shared" si="39"/>
        <v>#N/A</v>
      </c>
      <c r="CI32" t="e">
        <f t="shared" si="40"/>
        <v>#N/A</v>
      </c>
      <c r="CJ32" s="6" t="e">
        <f t="shared" si="49"/>
        <v>#N/A</v>
      </c>
      <c r="CK32" s="6">
        <f t="shared" si="50"/>
        <v>1</v>
      </c>
      <c r="CL32" s="6">
        <f t="shared" si="51"/>
        <v>1</v>
      </c>
      <c r="CM32" s="6">
        <f t="shared" si="52"/>
        <v>1</v>
      </c>
      <c r="CN32" s="6">
        <f t="shared" si="53"/>
        <v>1</v>
      </c>
      <c r="CO32" s="6">
        <f t="shared" si="54"/>
        <v>0</v>
      </c>
      <c r="CP32" s="6">
        <f t="shared" si="55"/>
        <v>1</v>
      </c>
      <c r="CQ32" s="6">
        <f t="shared" si="41"/>
        <v>1</v>
      </c>
      <c r="CR32" s="81" t="str">
        <f t="shared" si="56"/>
        <v/>
      </c>
      <c r="CS32">
        <f t="shared" si="42"/>
        <v>0</v>
      </c>
      <c r="CT32">
        <f t="shared" si="58"/>
        <v>250</v>
      </c>
      <c r="CU32" t="str">
        <f t="shared" si="57"/>
        <v/>
      </c>
      <c r="CV32" s="81">
        <f t="shared" si="43"/>
        <v>250</v>
      </c>
      <c r="CW32" s="81">
        <f>(CV32/25)^1.5*(Calculator!$BU$4/10000)*CW$5</f>
        <v>81.653361199867305</v>
      </c>
      <c r="CX32" t="str">
        <f t="shared" si="44"/>
        <v>$250</v>
      </c>
    </row>
    <row r="33" spans="2:102" x14ac:dyDescent="0.25">
      <c r="B33" s="115" t="s">
        <v>233</v>
      </c>
      <c r="C33" s="13">
        <v>46233.236805555556</v>
      </c>
      <c r="D33">
        <v>33352</v>
      </c>
      <c r="E33" s="54" t="s">
        <v>237</v>
      </c>
      <c r="F33" s="54" t="s">
        <v>332</v>
      </c>
      <c r="G33" s="54" t="s">
        <v>344</v>
      </c>
      <c r="H33" s="55">
        <v>13.4</v>
      </c>
      <c r="I33" s="55">
        <v>13</v>
      </c>
      <c r="J33" s="55">
        <v>12.8</v>
      </c>
      <c r="K33" s="54"/>
      <c r="L33" s="56" t="b">
        <v>0</v>
      </c>
      <c r="M33" s="56" t="b">
        <v>0</v>
      </c>
      <c r="N33" s="54">
        <v>1</v>
      </c>
      <c r="O33" s="54" t="s">
        <v>228</v>
      </c>
      <c r="P33" s="54">
        <v>6</v>
      </c>
      <c r="Q33" s="54">
        <v>24</v>
      </c>
      <c r="R33" s="54">
        <v>250</v>
      </c>
      <c r="S33" s="54" t="s">
        <v>334</v>
      </c>
      <c r="T33" s="54" t="s">
        <v>350</v>
      </c>
      <c r="U33" s="54" t="s">
        <v>351</v>
      </c>
      <c r="V33" s="54" t="s">
        <v>352</v>
      </c>
      <c r="W33" s="54" t="b">
        <v>0</v>
      </c>
      <c r="X33" s="54"/>
      <c r="Y33" s="57" t="s">
        <v>353</v>
      </c>
      <c r="Z33" s="54" t="s">
        <v>354</v>
      </c>
      <c r="AA33" s="54"/>
      <c r="AB33" s="54" t="s">
        <v>339</v>
      </c>
      <c r="AC33" s="56" t="b">
        <v>1</v>
      </c>
      <c r="AD33" s="56" t="b">
        <v>0</v>
      </c>
      <c r="AE33" s="54" t="s">
        <v>303</v>
      </c>
      <c r="AF33" s="58">
        <v>46233</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6.4740000000000006E-2</v>
      </c>
      <c r="BC33" s="60">
        <v>4.0599999999999996</v>
      </c>
      <c r="BD33" s="61">
        <v>6.1196E-2</v>
      </c>
      <c r="BE33" s="62" t="s">
        <v>293</v>
      </c>
      <c r="BF33" s="35">
        <f t="shared" si="45"/>
        <v>4.0600000000000005</v>
      </c>
      <c r="BG33" s="35">
        <f t="shared" si="45"/>
        <v>6.0295000000000001E-2</v>
      </c>
      <c r="BH33" s="35" t="str">
        <f t="shared" si="32"/>
        <v>Low</v>
      </c>
      <c r="BI33" s="110">
        <f t="shared" si="33"/>
        <v>0</v>
      </c>
      <c r="BJ33" s="83">
        <f>VLOOKUP($F33,REP_Info!$D$6:$H$250,5,FALSE)</f>
        <v>2.0139999999999998</v>
      </c>
      <c r="BK33" s="30">
        <f t="shared" si="34"/>
        <v>13.315500000000004</v>
      </c>
      <c r="BL33" s="30">
        <f t="shared" si="34"/>
        <v>12.909500000000003</v>
      </c>
      <c r="BM33" s="30">
        <f t="shared" si="34"/>
        <v>12.706500000000002</v>
      </c>
      <c r="BN33" s="29">
        <f t="shared" si="34"/>
        <v>12.638833333333332</v>
      </c>
      <c r="BO33" s="85" t="str">
        <f t="shared" si="46"/>
        <v>$$$</v>
      </c>
      <c r="BP33" s="88" t="str">
        <f t="shared" si="35"/>
        <v>$$$</v>
      </c>
      <c r="BQ33" s="88" t="str">
        <f t="shared" si="47"/>
        <v>$$$</v>
      </c>
      <c r="BR33" s="88" t="str">
        <f t="shared" si="48"/>
        <v>$$$</v>
      </c>
      <c r="BS33" s="29" t="e">
        <f t="shared" si="59"/>
        <v>#N/A</v>
      </c>
      <c r="BT33" s="29" t="e">
        <f t="shared" si="59"/>
        <v>#N/A</v>
      </c>
      <c r="BU33" s="29" t="e">
        <f t="shared" si="59"/>
        <v>#N/A</v>
      </c>
      <c r="BV33" s="29" t="e">
        <f t="shared" si="59"/>
        <v>#N/A</v>
      </c>
      <c r="BW33" s="29" t="e">
        <f t="shared" si="59"/>
        <v>#N/A</v>
      </c>
      <c r="BX33" s="29" t="e">
        <f t="shared" si="59"/>
        <v>#N/A</v>
      </c>
      <c r="BY33" s="29" t="e">
        <f t="shared" si="59"/>
        <v>#N/A</v>
      </c>
      <c r="BZ33" s="29" t="e">
        <f t="shared" si="59"/>
        <v>#N/A</v>
      </c>
      <c r="CA33" s="29" t="e">
        <f t="shared" si="59"/>
        <v>#N/A</v>
      </c>
      <c r="CB33" s="29" t="e">
        <f t="shared" si="59"/>
        <v>#N/A</v>
      </c>
      <c r="CC33" s="29" t="e">
        <f t="shared" si="59"/>
        <v>#N/A</v>
      </c>
      <c r="CD33" s="29" t="e">
        <f t="shared" si="59"/>
        <v>#N/A</v>
      </c>
      <c r="CE33" s="6" t="str">
        <f t="shared" si="37"/>
        <v/>
      </c>
      <c r="CF33" s="27" t="e">
        <f>IF(AND(CI33,NOT(AD33)),LOOKUP(CF$5,{0,750,1500},H33:J33),"")</f>
        <v>#N/A</v>
      </c>
      <c r="CG33" s="6" t="str">
        <f t="shared" si="38"/>
        <v/>
      </c>
      <c r="CH33" t="e">
        <f t="shared" si="39"/>
        <v>#N/A</v>
      </c>
      <c r="CI33" t="e">
        <f t="shared" si="40"/>
        <v>#N/A</v>
      </c>
      <c r="CJ33" s="6" t="e">
        <f t="shared" si="49"/>
        <v>#N/A</v>
      </c>
      <c r="CK33" s="6">
        <f t="shared" si="50"/>
        <v>1</v>
      </c>
      <c r="CL33" s="6">
        <f t="shared" si="51"/>
        <v>1</v>
      </c>
      <c r="CM33" s="6">
        <f t="shared" si="52"/>
        <v>1</v>
      </c>
      <c r="CN33" s="6">
        <f t="shared" si="53"/>
        <v>1</v>
      </c>
      <c r="CO33" s="6">
        <f t="shared" si="54"/>
        <v>0</v>
      </c>
      <c r="CP33" s="6">
        <f t="shared" si="55"/>
        <v>1</v>
      </c>
      <c r="CQ33" s="6">
        <f t="shared" si="41"/>
        <v>1</v>
      </c>
      <c r="CR33" s="81" t="str">
        <f t="shared" si="56"/>
        <v/>
      </c>
      <c r="CS33">
        <f t="shared" si="42"/>
        <v>0</v>
      </c>
      <c r="CT33">
        <f t="shared" si="58"/>
        <v>250</v>
      </c>
      <c r="CU33" t="str">
        <f t="shared" si="57"/>
        <v/>
      </c>
      <c r="CV33" s="81">
        <f t="shared" si="43"/>
        <v>250</v>
      </c>
      <c r="CW33" s="81">
        <f>(CV33/25)^1.5*(Calculator!$BU$4/10000)*CW$5</f>
        <v>81.653361199867305</v>
      </c>
      <c r="CX33" t="str">
        <f t="shared" si="44"/>
        <v>$250</v>
      </c>
    </row>
    <row r="34" spans="2:102" x14ac:dyDescent="0.25">
      <c r="B34" s="115" t="s">
        <v>233</v>
      </c>
      <c r="C34" s="13">
        <v>46233.236805555556</v>
      </c>
      <c r="D34">
        <v>33362</v>
      </c>
      <c r="E34" s="54" t="s">
        <v>235</v>
      </c>
      <c r="F34" s="54" t="s">
        <v>332</v>
      </c>
      <c r="G34" s="54" t="s">
        <v>1874</v>
      </c>
      <c r="H34" s="55">
        <v>19.3</v>
      </c>
      <c r="I34" s="55">
        <v>6.3</v>
      </c>
      <c r="J34" s="55">
        <v>12.3</v>
      </c>
      <c r="K34" s="54" t="s">
        <v>1875</v>
      </c>
      <c r="L34" s="56" t="b">
        <v>0</v>
      </c>
      <c r="M34" s="56" t="b">
        <v>0</v>
      </c>
      <c r="N34" s="54">
        <v>1</v>
      </c>
      <c r="O34" s="54" t="s">
        <v>228</v>
      </c>
      <c r="P34" s="54">
        <v>6</v>
      </c>
      <c r="Q34" s="54">
        <v>12</v>
      </c>
      <c r="R34" s="54">
        <v>150</v>
      </c>
      <c r="S34" s="54" t="s">
        <v>334</v>
      </c>
      <c r="T34" s="54" t="s">
        <v>1876</v>
      </c>
      <c r="U34" s="54" t="s">
        <v>1866</v>
      </c>
      <c r="V34" s="54" t="s">
        <v>1877</v>
      </c>
      <c r="W34" s="54" t="b">
        <v>0</v>
      </c>
      <c r="X34" s="54"/>
      <c r="Y34" s="57" t="s">
        <v>1878</v>
      </c>
      <c r="Z34" s="54" t="s">
        <v>1879</v>
      </c>
      <c r="AA34" s="54"/>
      <c r="AB34" s="54" t="s">
        <v>339</v>
      </c>
      <c r="AC34" s="56" t="b">
        <v>1</v>
      </c>
      <c r="AD34" s="56" t="b">
        <v>1</v>
      </c>
      <c r="AE34" s="54" t="s">
        <v>303</v>
      </c>
      <c r="AF34" s="58">
        <v>46233</v>
      </c>
      <c r="AG34" s="62" t="s">
        <v>293</v>
      </c>
      <c r="AH34" s="54">
        <v>0</v>
      </c>
      <c r="AI34" s="54">
        <v>1000</v>
      </c>
      <c r="AJ34" s="54"/>
      <c r="AK34" s="54"/>
      <c r="AL34" s="54"/>
      <c r="AM34" s="54">
        <v>0</v>
      </c>
      <c r="AN34" s="54">
        <v>-125</v>
      </c>
      <c r="AO34" s="54"/>
      <c r="AP34" s="54"/>
      <c r="AQ34" s="54"/>
      <c r="AR34" s="54"/>
      <c r="AS34" s="54"/>
      <c r="AT34" s="54"/>
      <c r="AU34" s="54"/>
      <c r="AV34" s="54"/>
      <c r="AW34" s="54"/>
      <c r="AX34" s="59"/>
      <c r="AY34" s="59"/>
      <c r="AZ34" s="59"/>
      <c r="BA34" s="59"/>
      <c r="BB34" s="59">
        <v>0.13164000000000001</v>
      </c>
      <c r="BC34" s="60">
        <v>4.9000000000000004</v>
      </c>
      <c r="BD34" s="61">
        <v>5.1461E-2</v>
      </c>
      <c r="BE34" s="62" t="s">
        <v>293</v>
      </c>
      <c r="BF34" s="35">
        <f t="shared" si="45"/>
        <v>4.9000000000000004</v>
      </c>
      <c r="BG34" s="35">
        <f t="shared" si="45"/>
        <v>5.1461E-2</v>
      </c>
      <c r="BH34" s="35" t="str">
        <f t="shared" si="32"/>
        <v>High</v>
      </c>
      <c r="BI34" s="110">
        <f t="shared" si="33"/>
        <v>0</v>
      </c>
      <c r="BJ34" s="83">
        <f>VLOOKUP($F34,REP_Info!$D$6:$H$250,5,FALSE)</f>
        <v>2.0139999999999998</v>
      </c>
      <c r="BK34" s="30">
        <f t="shared" si="34"/>
        <v>19.290100000000002</v>
      </c>
      <c r="BL34" s="30">
        <f t="shared" si="34"/>
        <v>6.3001000000000014</v>
      </c>
      <c r="BM34" s="30">
        <f t="shared" si="34"/>
        <v>12.305100000000003</v>
      </c>
      <c r="BN34" s="29">
        <f t="shared" si="34"/>
        <v>14.306766666666665</v>
      </c>
      <c r="BO34" s="85" t="str">
        <f t="shared" si="46"/>
        <v>$$$</v>
      </c>
      <c r="BP34" s="88" t="str">
        <f t="shared" si="35"/>
        <v>$$$</v>
      </c>
      <c r="BQ34" s="88" t="str">
        <f t="shared" si="47"/>
        <v>$$$</v>
      </c>
      <c r="BR34" s="88" t="str">
        <f t="shared" si="48"/>
        <v>$$$</v>
      </c>
      <c r="BS34" s="29" t="e">
        <f t="shared" si="59"/>
        <v>#N/A</v>
      </c>
      <c r="BT34" s="29" t="e">
        <f t="shared" si="59"/>
        <v>#N/A</v>
      </c>
      <c r="BU34" s="29" t="e">
        <f t="shared" si="59"/>
        <v>#N/A</v>
      </c>
      <c r="BV34" s="29" t="e">
        <f t="shared" si="59"/>
        <v>#N/A</v>
      </c>
      <c r="BW34" s="29" t="e">
        <f t="shared" si="59"/>
        <v>#N/A</v>
      </c>
      <c r="BX34" s="29" t="e">
        <f t="shared" si="59"/>
        <v>#N/A</v>
      </c>
      <c r="BY34" s="29" t="e">
        <f t="shared" si="59"/>
        <v>#N/A</v>
      </c>
      <c r="BZ34" s="29" t="e">
        <f t="shared" si="59"/>
        <v>#N/A</v>
      </c>
      <c r="CA34" s="29" t="e">
        <f t="shared" si="59"/>
        <v>#N/A</v>
      </c>
      <c r="CB34" s="29" t="e">
        <f t="shared" si="59"/>
        <v>#N/A</v>
      </c>
      <c r="CC34" s="29" t="e">
        <f t="shared" si="59"/>
        <v>#N/A</v>
      </c>
      <c r="CD34" s="29" t="e">
        <f t="shared" si="59"/>
        <v>#N/A</v>
      </c>
      <c r="CE34" s="6" t="str">
        <f t="shared" si="37"/>
        <v/>
      </c>
      <c r="CF34" s="27" t="e">
        <f>IF(AND(CI34,NOT(AD34)),LOOKUP(CF$5,{0,750,1500},H34:J34),"")</f>
        <v>#N/A</v>
      </c>
      <c r="CG34" s="6" t="str">
        <f t="shared" si="38"/>
        <v/>
      </c>
      <c r="CH34" t="e">
        <f t="shared" si="39"/>
        <v>#N/A</v>
      </c>
      <c r="CI34" t="e">
        <f t="shared" si="40"/>
        <v>#N/A</v>
      </c>
      <c r="CJ34" s="6" t="e">
        <f t="shared" si="49"/>
        <v>#N/A</v>
      </c>
      <c r="CK34" s="6">
        <f t="shared" si="50"/>
        <v>1</v>
      </c>
      <c r="CL34" s="6">
        <f t="shared" si="51"/>
        <v>1</v>
      </c>
      <c r="CM34" s="6">
        <f t="shared" si="52"/>
        <v>1</v>
      </c>
      <c r="CN34" s="6">
        <f t="shared" si="53"/>
        <v>1</v>
      </c>
      <c r="CO34" s="6">
        <f t="shared" si="54"/>
        <v>1</v>
      </c>
      <c r="CP34" s="6">
        <f t="shared" si="55"/>
        <v>1</v>
      </c>
      <c r="CQ34" s="6">
        <f t="shared" si="41"/>
        <v>1</v>
      </c>
      <c r="CR34" s="81" t="str">
        <f t="shared" si="56"/>
        <v/>
      </c>
      <c r="CS34">
        <f t="shared" si="42"/>
        <v>0</v>
      </c>
      <c r="CT34">
        <f t="shared" si="58"/>
        <v>150</v>
      </c>
      <c r="CU34" t="str">
        <f t="shared" si="57"/>
        <v/>
      </c>
      <c r="CV34" s="81">
        <f t="shared" si="43"/>
        <v>150</v>
      </c>
      <c r="CW34" s="81">
        <f>(CV34/25)^1.5*(Calculator!$BU$4/10000)*CW$5</f>
        <v>37.949052970673385</v>
      </c>
      <c r="CX34" t="str">
        <f t="shared" si="44"/>
        <v>$150</v>
      </c>
    </row>
    <row r="35" spans="2:102" x14ac:dyDescent="0.25">
      <c r="B35" s="115" t="s">
        <v>233</v>
      </c>
      <c r="C35" s="13">
        <v>46236.341666666667</v>
      </c>
      <c r="D35">
        <v>33364</v>
      </c>
      <c r="E35" s="54" t="s">
        <v>237</v>
      </c>
      <c r="F35" s="54" t="s">
        <v>332</v>
      </c>
      <c r="G35" s="54" t="s">
        <v>1874</v>
      </c>
      <c r="H35" s="55">
        <v>19.8</v>
      </c>
      <c r="I35" s="55">
        <v>6.9</v>
      </c>
      <c r="J35" s="55">
        <v>12.9</v>
      </c>
      <c r="K35" s="54" t="s">
        <v>1875</v>
      </c>
      <c r="L35" s="56" t="b">
        <v>0</v>
      </c>
      <c r="M35" s="56" t="b">
        <v>0</v>
      </c>
      <c r="N35" s="54">
        <v>1</v>
      </c>
      <c r="O35" s="54" t="s">
        <v>228</v>
      </c>
      <c r="P35" s="54">
        <v>6</v>
      </c>
      <c r="Q35" s="54">
        <v>12</v>
      </c>
      <c r="R35" s="54">
        <v>150</v>
      </c>
      <c r="S35" s="54" t="s">
        <v>334</v>
      </c>
      <c r="T35" s="54" t="s">
        <v>1876</v>
      </c>
      <c r="U35" s="54" t="s">
        <v>1868</v>
      </c>
      <c r="V35" s="54" t="s">
        <v>1880</v>
      </c>
      <c r="W35" s="54" t="b">
        <v>0</v>
      </c>
      <c r="X35" s="54"/>
      <c r="Y35" s="57" t="s">
        <v>1881</v>
      </c>
      <c r="Z35" s="54" t="s">
        <v>1882</v>
      </c>
      <c r="AA35" s="54"/>
      <c r="AB35" s="54" t="s">
        <v>339</v>
      </c>
      <c r="AC35" s="56" t="b">
        <v>1</v>
      </c>
      <c r="AD35" s="56" t="b">
        <v>1</v>
      </c>
      <c r="AE35" s="54" t="s">
        <v>303</v>
      </c>
      <c r="AF35" s="58">
        <v>46236</v>
      </c>
      <c r="AG35" s="62" t="s">
        <v>293</v>
      </c>
      <c r="AH35" s="54">
        <v>0</v>
      </c>
      <c r="AI35" s="54">
        <v>1000</v>
      </c>
      <c r="AJ35" s="54"/>
      <c r="AK35" s="54"/>
      <c r="AL35" s="54"/>
      <c r="AM35" s="54">
        <v>0</v>
      </c>
      <c r="AN35" s="54">
        <v>-125</v>
      </c>
      <c r="AO35" s="54"/>
      <c r="AP35" s="54"/>
      <c r="AQ35" s="54"/>
      <c r="AR35" s="54"/>
      <c r="AS35" s="54"/>
      <c r="AT35" s="54"/>
      <c r="AU35" s="54"/>
      <c r="AV35" s="54"/>
      <c r="AW35" s="54"/>
      <c r="AX35" s="59"/>
      <c r="AY35" s="59"/>
      <c r="AZ35" s="59"/>
      <c r="BA35" s="59"/>
      <c r="BB35" s="59">
        <v>0.12873999999999999</v>
      </c>
      <c r="BC35" s="60">
        <v>4.0599999999999996</v>
      </c>
      <c r="BD35" s="61">
        <v>6.1196E-2</v>
      </c>
      <c r="BE35" s="62" t="s">
        <v>293</v>
      </c>
      <c r="BF35" s="35">
        <f t="shared" si="45"/>
        <v>4.0600000000000005</v>
      </c>
      <c r="BG35" s="35">
        <f t="shared" si="45"/>
        <v>6.0295000000000001E-2</v>
      </c>
      <c r="BH35" s="35" t="str">
        <f t="shared" si="32"/>
        <v>High</v>
      </c>
      <c r="BI35" s="110">
        <f t="shared" si="33"/>
        <v>0</v>
      </c>
      <c r="BJ35" s="83">
        <f>VLOOKUP($F35,REP_Info!$D$6:$H$250,5,FALSE)</f>
        <v>2.0139999999999998</v>
      </c>
      <c r="BK35" s="30">
        <f t="shared" si="34"/>
        <v>19.715499999999995</v>
      </c>
      <c r="BL35" s="30">
        <f t="shared" si="34"/>
        <v>6.8094999999999981</v>
      </c>
      <c r="BM35" s="30">
        <f t="shared" si="34"/>
        <v>12.8565</v>
      </c>
      <c r="BN35" s="29">
        <f t="shared" si="34"/>
        <v>14.872166666666667</v>
      </c>
      <c r="BO35" s="85" t="str">
        <f t="shared" si="46"/>
        <v>$$$</v>
      </c>
      <c r="BP35" s="88" t="str">
        <f t="shared" si="35"/>
        <v>$$$</v>
      </c>
      <c r="BQ35" s="88" t="str">
        <f t="shared" si="47"/>
        <v>$$$</v>
      </c>
      <c r="BR35" s="88" t="str">
        <f t="shared" si="48"/>
        <v>$$$</v>
      </c>
      <c r="BS35" s="29" t="e">
        <f t="shared" si="59"/>
        <v>#N/A</v>
      </c>
      <c r="BT35" s="29" t="e">
        <f t="shared" si="59"/>
        <v>#N/A</v>
      </c>
      <c r="BU35" s="29" t="e">
        <f t="shared" si="59"/>
        <v>#N/A</v>
      </c>
      <c r="BV35" s="29" t="e">
        <f t="shared" si="59"/>
        <v>#N/A</v>
      </c>
      <c r="BW35" s="29" t="e">
        <f t="shared" si="59"/>
        <v>#N/A</v>
      </c>
      <c r="BX35" s="29" t="e">
        <f t="shared" si="59"/>
        <v>#N/A</v>
      </c>
      <c r="BY35" s="29" t="e">
        <f t="shared" si="59"/>
        <v>#N/A</v>
      </c>
      <c r="BZ35" s="29" t="e">
        <f t="shared" si="59"/>
        <v>#N/A</v>
      </c>
      <c r="CA35" s="29" t="e">
        <f t="shared" si="59"/>
        <v>#N/A</v>
      </c>
      <c r="CB35" s="29" t="e">
        <f t="shared" si="59"/>
        <v>#N/A</v>
      </c>
      <c r="CC35" s="29" t="e">
        <f t="shared" si="59"/>
        <v>#N/A</v>
      </c>
      <c r="CD35" s="29" t="e">
        <f t="shared" si="59"/>
        <v>#N/A</v>
      </c>
      <c r="CE35" s="6" t="str">
        <f t="shared" si="37"/>
        <v/>
      </c>
      <c r="CF35" s="27" t="e">
        <f>IF(AND(CI35,NOT(AD35)),LOOKUP(CF$5,{0,750,1500},H35:J35),"")</f>
        <v>#N/A</v>
      </c>
      <c r="CG35" s="6" t="str">
        <f t="shared" si="38"/>
        <v/>
      </c>
      <c r="CH35" t="e">
        <f t="shared" si="39"/>
        <v>#N/A</v>
      </c>
      <c r="CI35" t="e">
        <f t="shared" si="40"/>
        <v>#N/A</v>
      </c>
      <c r="CJ35" s="6" t="e">
        <f t="shared" si="49"/>
        <v>#N/A</v>
      </c>
      <c r="CK35" s="6">
        <f t="shared" si="50"/>
        <v>1</v>
      </c>
      <c r="CL35" s="6">
        <f t="shared" si="51"/>
        <v>1</v>
      </c>
      <c r="CM35" s="6">
        <f t="shared" si="52"/>
        <v>1</v>
      </c>
      <c r="CN35" s="6">
        <f t="shared" si="53"/>
        <v>1</v>
      </c>
      <c r="CO35" s="6">
        <f t="shared" si="54"/>
        <v>1</v>
      </c>
      <c r="CP35" s="6">
        <f t="shared" si="55"/>
        <v>1</v>
      </c>
      <c r="CQ35" s="6">
        <f t="shared" si="41"/>
        <v>1</v>
      </c>
      <c r="CR35" s="81" t="str">
        <f t="shared" si="56"/>
        <v/>
      </c>
      <c r="CS35">
        <f t="shared" si="42"/>
        <v>0</v>
      </c>
      <c r="CT35">
        <f t="shared" si="58"/>
        <v>150</v>
      </c>
      <c r="CU35" t="str">
        <f t="shared" si="57"/>
        <v/>
      </c>
      <c r="CV35" s="81">
        <f t="shared" si="43"/>
        <v>150</v>
      </c>
      <c r="CW35" s="81">
        <f>(CV35/25)^1.5*(Calculator!$BU$4/10000)*CW$5</f>
        <v>37.949052970673385</v>
      </c>
      <c r="CX35" t="str">
        <f t="shared" si="44"/>
        <v>$150</v>
      </c>
    </row>
    <row r="36" spans="2:102" x14ac:dyDescent="0.25">
      <c r="B36" s="115" t="s">
        <v>233</v>
      </c>
      <c r="C36" s="13">
        <v>46233.236805555556</v>
      </c>
      <c r="D36">
        <v>33453</v>
      </c>
      <c r="E36" s="54" t="s">
        <v>237</v>
      </c>
      <c r="F36" s="54" t="s">
        <v>332</v>
      </c>
      <c r="G36" s="54" t="s">
        <v>355</v>
      </c>
      <c r="H36" s="55">
        <v>13.900000000000002</v>
      </c>
      <c r="I36" s="55">
        <v>13.5</v>
      </c>
      <c r="J36" s="55">
        <v>13.3</v>
      </c>
      <c r="K36" s="54"/>
      <c r="L36" s="56" t="b">
        <v>0</v>
      </c>
      <c r="M36" s="56" t="b">
        <v>0</v>
      </c>
      <c r="N36" s="54">
        <v>1</v>
      </c>
      <c r="O36" s="54" t="s">
        <v>228</v>
      </c>
      <c r="P36" s="54">
        <v>6</v>
      </c>
      <c r="Q36" s="54">
        <v>36</v>
      </c>
      <c r="R36" s="54">
        <v>350</v>
      </c>
      <c r="S36" s="54" t="s">
        <v>334</v>
      </c>
      <c r="T36" s="54" t="s">
        <v>356</v>
      </c>
      <c r="U36" s="54" t="s">
        <v>357</v>
      </c>
      <c r="V36" s="54" t="s">
        <v>358</v>
      </c>
      <c r="W36" s="54" t="b">
        <v>0</v>
      </c>
      <c r="X36" s="54"/>
      <c r="Y36" s="57" t="s">
        <v>359</v>
      </c>
      <c r="Z36" s="54" t="s">
        <v>360</v>
      </c>
      <c r="AA36" s="54"/>
      <c r="AB36" s="54" t="s">
        <v>339</v>
      </c>
      <c r="AC36" s="56" t="b">
        <v>1</v>
      </c>
      <c r="AD36" s="56" t="b">
        <v>0</v>
      </c>
      <c r="AE36" s="54" t="s">
        <v>303</v>
      </c>
      <c r="AF36" s="58">
        <v>46233</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6.9739999999999996E-2</v>
      </c>
      <c r="BC36" s="60">
        <v>4.0599999999999996</v>
      </c>
      <c r="BD36" s="61">
        <v>6.1196E-2</v>
      </c>
      <c r="BE36" s="62" t="s">
        <v>293</v>
      </c>
      <c r="BF36" s="35">
        <f t="shared" si="0"/>
        <v>4.0600000000000005</v>
      </c>
      <c r="BG36" s="35">
        <f t="shared" si="0"/>
        <v>6.0295000000000001E-2</v>
      </c>
      <c r="BH36" s="35" t="str">
        <f t="shared" ref="BH36:BH38" si="60">IF(ISTEXT(BE36),IF(AND(AV36=0,SUM(AN36:AQ36)=0),IF(AM36&lt;=0,IF(BE36="Y","Low","Flat"),"Med"),"High"),"?")</f>
        <v>Low</v>
      </c>
      <c r="BI36" s="110">
        <f t="shared" ref="BI36:BI38" si="61">IF(ISNUMBER(AH36),0*BI$5*SIN((EDATE($A$3,$Q36)-DATE(YEAR(EDATE($A$3,$Q36)),1,0)-BI$4)*2*PI()/365),"")</f>
        <v>0</v>
      </c>
      <c r="BJ36" s="83">
        <f>VLOOKUP($F36,REP_Info!$D$6:$H$250,5,FALSE)</f>
        <v>2.0139999999999998</v>
      </c>
      <c r="BK36" s="30">
        <f t="shared" ref="BK36:BN38" si="62">IF(BK$7&gt;0,(LOOKUP(BK$7,$AH36:$AL36,$AM36:$AQ36)+IF($AG36="Y",SUMPRODUCT($AX36:$BB36-$AW36:$BA36,BK$7-$AR36:$AV36,N(BK$7&gt;$AR36:$AV36)),BK$7*LOOKUP(BK$7,$AR36:$AV36,$AX36:$BB36))+IF($BE36="Y",$BF36,$BC36)+BK$7*IF($BE36="Y",$BG36,$BD36))*100/BK$7,"")</f>
        <v>13.8155</v>
      </c>
      <c r="BL36" s="30">
        <f t="shared" si="62"/>
        <v>13.4095</v>
      </c>
      <c r="BM36" s="30">
        <f t="shared" si="62"/>
        <v>13.2065</v>
      </c>
      <c r="BN36" s="29">
        <f t="shared" si="62"/>
        <v>13.138833333333332</v>
      </c>
      <c r="BO36" s="85" t="str">
        <f t="shared" si="2"/>
        <v>$$$</v>
      </c>
      <c r="BP36" s="88" t="str">
        <f t="shared" ref="BP36:BP38" si="63">IFERROR(BO36*100/BO$5,"$$$")</f>
        <v>$$$</v>
      </c>
      <c r="BQ36" s="88" t="str">
        <f t="shared" si="4"/>
        <v>$$$</v>
      </c>
      <c r="BR36" s="88" t="str">
        <f t="shared" si="5"/>
        <v>$$$</v>
      </c>
      <c r="BS36" s="29" t="e">
        <f t="shared" ref="BS36:CD38" si="64">IF($CI36,IF(BS$7&gt;0,IF(BS$4&gt;$Q36,$BF36+BS$7*(BS$5+$BG36+$BI36),LOOKUP(BS$7,$AH36:$AL36,$AM36:$AQ36)+IF($AG36="Y",SUMPRODUCT($AX36:$BB36-$AW36:$BA36,BS$7-$AR36:$AV36,N(BS$7&gt;$AR36:$AV36)),BS$7*LOOKUP(BS$7,$AR36:$AV36,$AX36:$BB36))+IF($BE36="Y",$BF36,$BC36)+BS$7*IF($BE36="Y",$BG36,$BD36))*100/BS$7,""),NA())</f>
        <v>#N/A</v>
      </c>
      <c r="BT36" s="29" t="e">
        <f t="shared" si="64"/>
        <v>#N/A</v>
      </c>
      <c r="BU36" s="29" t="e">
        <f t="shared" si="64"/>
        <v>#N/A</v>
      </c>
      <c r="BV36" s="29" t="e">
        <f t="shared" si="64"/>
        <v>#N/A</v>
      </c>
      <c r="BW36" s="29" t="e">
        <f t="shared" si="64"/>
        <v>#N/A</v>
      </c>
      <c r="BX36" s="29" t="e">
        <f t="shared" si="64"/>
        <v>#N/A</v>
      </c>
      <c r="BY36" s="29" t="e">
        <f t="shared" si="64"/>
        <v>#N/A</v>
      </c>
      <c r="BZ36" s="29" t="e">
        <f t="shared" si="64"/>
        <v>#N/A</v>
      </c>
      <c r="CA36" s="29" t="e">
        <f t="shared" si="64"/>
        <v>#N/A</v>
      </c>
      <c r="CB36" s="29" t="e">
        <f t="shared" si="64"/>
        <v>#N/A</v>
      </c>
      <c r="CC36" s="29" t="e">
        <f t="shared" si="64"/>
        <v>#N/A</v>
      </c>
      <c r="CD36" s="29" t="e">
        <f t="shared" si="64"/>
        <v>#N/A</v>
      </c>
      <c r="CE36" s="6" t="str">
        <f t="shared" si="7"/>
        <v/>
      </c>
      <c r="CF36" s="27" t="e">
        <f>IF(AND(CI36,NOT(AD36)),LOOKUP(CF$5,{0,750,1500},H36:J36),"")</f>
        <v>#N/A</v>
      </c>
      <c r="CG36" s="6" t="str">
        <f t="shared" si="8"/>
        <v/>
      </c>
      <c r="CH36" t="e">
        <f t="shared" ref="CH36:CH38" si="65">IF(CI36,IF(ISNUMBER(BO36),BO36,100000)+CV36/10000+IF(ISNUMBER(BJ36),BJ36,2)/10000-P36/100000+ROW()/10000000,"")</f>
        <v>#N/A</v>
      </c>
      <c r="CI36" t="e">
        <f t="shared" ref="CI36:CI38" si="66">PRODUCT(CJ36:CQ36)</f>
        <v>#N/A</v>
      </c>
      <c r="CJ36" s="6" t="e">
        <f t="shared" si="11"/>
        <v>#N/A</v>
      </c>
      <c r="CK36" s="6">
        <f t="shared" si="12"/>
        <v>1</v>
      </c>
      <c r="CL36" s="6">
        <f t="shared" si="26"/>
        <v>1</v>
      </c>
      <c r="CM36" s="6">
        <f t="shared" si="13"/>
        <v>1</v>
      </c>
      <c r="CN36" s="6">
        <f t="shared" si="14"/>
        <v>1</v>
      </c>
      <c r="CO36" s="6">
        <f t="shared" si="15"/>
        <v>0</v>
      </c>
      <c r="CP36" s="6">
        <f t="shared" si="16"/>
        <v>1</v>
      </c>
      <c r="CQ36" s="6">
        <f t="shared" ref="CQ36:CQ38" si="67">IF(CQ$5="Any",1,IF(AND(CQ$5="Med",AV36=0,SUM(AN36:AQ36)=0),1,IF(AND(CQ$5="Low",AV36=0,SUM(AN36:AQ36)=0,AM36=0),1,IF(AND(CQ$5="Flat",AV36=0,SUM(AN36:AQ36)=0,AM36=0,IFERROR(NOT(BE36="Y"),0)),1,0))))</f>
        <v>1</v>
      </c>
      <c r="CR36" s="81" t="str">
        <f t="shared" si="17"/>
        <v/>
      </c>
      <c r="CS36">
        <f t="shared" ref="CS36:CS38" si="68">CS$5*(12/(MIN(12,Q36))-1)</f>
        <v>0</v>
      </c>
      <c r="CT36">
        <f t="shared" si="19"/>
        <v>350</v>
      </c>
      <c r="CU36" t="str">
        <f t="shared" si="29"/>
        <v/>
      </c>
      <c r="CV36" s="81">
        <f t="shared" ref="CV36:CV38" si="69">CT36*IF(CU36="",1,Q36)</f>
        <v>350</v>
      </c>
      <c r="CW36" s="81">
        <f>(CV36/25)^1.5*(Calculator!$BU$4/10000)*CW$5</f>
        <v>135.25898383666623</v>
      </c>
      <c r="CX36" t="str">
        <f t="shared" ref="CX36:CX38" si="70">"$"&amp;IF(LEFT(CU36,1)="r",CT36&amp;"/"&amp;CU36,CV36)</f>
        <v>$350</v>
      </c>
    </row>
    <row r="37" spans="2:102" x14ac:dyDescent="0.25">
      <c r="B37" s="115" t="s">
        <v>233</v>
      </c>
      <c r="C37" s="13">
        <v>46237.767361111109</v>
      </c>
      <c r="D37">
        <v>33464</v>
      </c>
      <c r="E37" s="54" t="s">
        <v>235</v>
      </c>
      <c r="F37" s="54" t="s">
        <v>332</v>
      </c>
      <c r="G37" s="54" t="s">
        <v>355</v>
      </c>
      <c r="H37" s="55">
        <v>13.100000000000001</v>
      </c>
      <c r="I37" s="55">
        <v>12.6</v>
      </c>
      <c r="J37" s="55">
        <v>12.4</v>
      </c>
      <c r="K37" s="54"/>
      <c r="L37" s="56" t="b">
        <v>0</v>
      </c>
      <c r="M37" s="56" t="b">
        <v>0</v>
      </c>
      <c r="N37" s="54">
        <v>1</v>
      </c>
      <c r="O37" s="54" t="s">
        <v>228</v>
      </c>
      <c r="P37" s="54">
        <v>6</v>
      </c>
      <c r="Q37" s="54">
        <v>36</v>
      </c>
      <c r="R37" s="54">
        <v>350</v>
      </c>
      <c r="S37" s="54" t="s">
        <v>334</v>
      </c>
      <c r="T37" s="54" t="s">
        <v>356</v>
      </c>
      <c r="U37" s="54" t="s">
        <v>361</v>
      </c>
      <c r="V37" s="54" t="s">
        <v>362</v>
      </c>
      <c r="W37" s="54" t="b">
        <v>0</v>
      </c>
      <c r="X37" s="54"/>
      <c r="Y37" s="57" t="s">
        <v>363</v>
      </c>
      <c r="Z37" s="54" t="s">
        <v>364</v>
      </c>
      <c r="AA37" s="54"/>
      <c r="AB37" s="54" t="s">
        <v>339</v>
      </c>
      <c r="AC37" s="56" t="b">
        <v>1</v>
      </c>
      <c r="AD37" s="56" t="b">
        <v>0</v>
      </c>
      <c r="AE37" s="54" t="s">
        <v>303</v>
      </c>
      <c r="AF37" s="58">
        <v>46237</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6.9639999999999994E-2</v>
      </c>
      <c r="BC37" s="60">
        <v>4.9000000000000004</v>
      </c>
      <c r="BD37" s="61">
        <v>5.1461E-2</v>
      </c>
      <c r="BE37" s="62" t="s">
        <v>293</v>
      </c>
      <c r="BF37" s="35">
        <f t="shared" si="0"/>
        <v>4.9000000000000004</v>
      </c>
      <c r="BG37" s="35">
        <f t="shared" si="0"/>
        <v>5.1461E-2</v>
      </c>
      <c r="BH37" s="35" t="str">
        <f t="shared" si="60"/>
        <v>Low</v>
      </c>
      <c r="BI37" s="110">
        <f t="shared" si="61"/>
        <v>0</v>
      </c>
      <c r="BJ37" s="83">
        <f>VLOOKUP($F37,REP_Info!$D$6:$H$250,5,FALSE)</f>
        <v>2.0139999999999998</v>
      </c>
      <c r="BK37" s="30">
        <f t="shared" si="62"/>
        <v>13.0901</v>
      </c>
      <c r="BL37" s="30">
        <f t="shared" si="62"/>
        <v>12.600100000000001</v>
      </c>
      <c r="BM37" s="30">
        <f t="shared" si="62"/>
        <v>12.3551</v>
      </c>
      <c r="BN37" s="29">
        <f t="shared" si="62"/>
        <v>12.273433333333331</v>
      </c>
      <c r="BO37" s="85" t="str">
        <f t="shared" si="2"/>
        <v>$$$</v>
      </c>
      <c r="BP37" s="88" t="str">
        <f t="shared" si="63"/>
        <v>$$$</v>
      </c>
      <c r="BQ37" s="88" t="str">
        <f t="shared" si="4"/>
        <v>$$$</v>
      </c>
      <c r="BR37" s="88" t="str">
        <f t="shared" si="5"/>
        <v>$$$</v>
      </c>
      <c r="BS37" s="29" t="e">
        <f t="shared" si="64"/>
        <v>#N/A</v>
      </c>
      <c r="BT37" s="29" t="e">
        <f t="shared" si="64"/>
        <v>#N/A</v>
      </c>
      <c r="BU37" s="29" t="e">
        <f t="shared" si="64"/>
        <v>#N/A</v>
      </c>
      <c r="BV37" s="29" t="e">
        <f t="shared" si="64"/>
        <v>#N/A</v>
      </c>
      <c r="BW37" s="29" t="e">
        <f t="shared" si="64"/>
        <v>#N/A</v>
      </c>
      <c r="BX37" s="29" t="e">
        <f t="shared" si="64"/>
        <v>#N/A</v>
      </c>
      <c r="BY37" s="29" t="e">
        <f t="shared" si="64"/>
        <v>#N/A</v>
      </c>
      <c r="BZ37" s="29" t="e">
        <f t="shared" si="64"/>
        <v>#N/A</v>
      </c>
      <c r="CA37" s="29" t="e">
        <f t="shared" si="64"/>
        <v>#N/A</v>
      </c>
      <c r="CB37" s="29" t="e">
        <f t="shared" si="64"/>
        <v>#N/A</v>
      </c>
      <c r="CC37" s="29" t="e">
        <f t="shared" si="64"/>
        <v>#N/A</v>
      </c>
      <c r="CD37" s="29" t="e">
        <f t="shared" si="64"/>
        <v>#N/A</v>
      </c>
      <c r="CE37" s="6" t="str">
        <f t="shared" si="7"/>
        <v/>
      </c>
      <c r="CF37" s="27" t="e">
        <f>IF(AND(CI37,NOT(AD37)),LOOKUP(CF$5,{0,750,1500},H37:J37),"")</f>
        <v>#N/A</v>
      </c>
      <c r="CG37" s="6" t="str">
        <f t="shared" si="8"/>
        <v/>
      </c>
      <c r="CH37" t="e">
        <f t="shared" si="65"/>
        <v>#N/A</v>
      </c>
      <c r="CI37" t="e">
        <f t="shared" si="66"/>
        <v>#N/A</v>
      </c>
      <c r="CJ37" s="6" t="e">
        <f t="shared" si="11"/>
        <v>#N/A</v>
      </c>
      <c r="CK37" s="6">
        <f t="shared" si="12"/>
        <v>1</v>
      </c>
      <c r="CL37" s="6">
        <f t="shared" si="26"/>
        <v>1</v>
      </c>
      <c r="CM37" s="6">
        <f t="shared" si="13"/>
        <v>1</v>
      </c>
      <c r="CN37" s="6">
        <f t="shared" si="14"/>
        <v>1</v>
      </c>
      <c r="CO37" s="6">
        <f t="shared" si="15"/>
        <v>0</v>
      </c>
      <c r="CP37" s="6">
        <f t="shared" si="16"/>
        <v>1</v>
      </c>
      <c r="CQ37" s="6">
        <f t="shared" si="67"/>
        <v>1</v>
      </c>
      <c r="CR37" s="81" t="str">
        <f t="shared" si="17"/>
        <v/>
      </c>
      <c r="CS37">
        <f t="shared" si="68"/>
        <v>0</v>
      </c>
      <c r="CT37">
        <f t="shared" si="19"/>
        <v>350</v>
      </c>
      <c r="CU37" t="str">
        <f t="shared" si="29"/>
        <v/>
      </c>
      <c r="CV37" s="81">
        <f t="shared" si="69"/>
        <v>350</v>
      </c>
      <c r="CW37" s="81">
        <f>(CV37/25)^1.5*(Calculator!$BU$4/10000)*CW$5</f>
        <v>135.25898383666623</v>
      </c>
      <c r="CX37" t="str">
        <f t="shared" si="70"/>
        <v>$350</v>
      </c>
    </row>
    <row r="38" spans="2:102" x14ac:dyDescent="0.25">
      <c r="B38" s="115" t="s">
        <v>233</v>
      </c>
      <c r="C38" s="13">
        <v>46236.341666666667</v>
      </c>
      <c r="D38">
        <v>33631</v>
      </c>
      <c r="E38" s="54" t="s">
        <v>237</v>
      </c>
      <c r="F38" s="54" t="s">
        <v>332</v>
      </c>
      <c r="G38" s="54" t="s">
        <v>1883</v>
      </c>
      <c r="H38" s="55">
        <v>12.2</v>
      </c>
      <c r="I38" s="55">
        <v>11.799999999999999</v>
      </c>
      <c r="J38" s="55">
        <v>11.600000000000001</v>
      </c>
      <c r="K38" s="54"/>
      <c r="L38" s="56" t="b">
        <v>0</v>
      </c>
      <c r="M38" s="56" t="b">
        <v>0</v>
      </c>
      <c r="N38" s="54">
        <v>1</v>
      </c>
      <c r="O38" s="54" t="s">
        <v>228</v>
      </c>
      <c r="P38" s="54">
        <v>6</v>
      </c>
      <c r="Q38" s="54">
        <v>11</v>
      </c>
      <c r="R38" s="54">
        <v>150</v>
      </c>
      <c r="S38" s="54" t="s">
        <v>334</v>
      </c>
      <c r="T38" s="54" t="s">
        <v>1884</v>
      </c>
      <c r="U38" s="54" t="s">
        <v>1870</v>
      </c>
      <c r="V38" s="54" t="s">
        <v>1885</v>
      </c>
      <c r="W38" s="54" t="b">
        <v>0</v>
      </c>
      <c r="X38" s="54"/>
      <c r="Y38" s="57" t="s">
        <v>1886</v>
      </c>
      <c r="Z38" s="54" t="s">
        <v>1887</v>
      </c>
      <c r="AA38" s="54"/>
      <c r="AB38" s="54" t="s">
        <v>339</v>
      </c>
      <c r="AC38" s="56" t="b">
        <v>1</v>
      </c>
      <c r="AD38" s="56" t="b">
        <v>0</v>
      </c>
      <c r="AE38" s="54" t="s">
        <v>303</v>
      </c>
      <c r="AF38" s="58">
        <v>46236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5.2740000000000002E-2</v>
      </c>
      <c r="BC38" s="60">
        <v>4.0599999999999996</v>
      </c>
      <c r="BD38" s="61">
        <v>6.1196E-2</v>
      </c>
      <c r="BE38" s="62" t="s">
        <v>293</v>
      </c>
      <c r="BF38" s="35">
        <f t="shared" ref="BF38:BG38" si="71">IF($E38=$E$4,BF$4,IF($E38=$E$5,BF$5,""))</f>
        <v>4.0600000000000005</v>
      </c>
      <c r="BG38" s="35">
        <f t="shared" si="71"/>
        <v>6.0295000000000001E-2</v>
      </c>
      <c r="BH38" s="35" t="str">
        <f t="shared" si="60"/>
        <v>Low</v>
      </c>
      <c r="BI38" s="110">
        <f t="shared" si="61"/>
        <v>0</v>
      </c>
      <c r="BJ38" s="83">
        <f>VLOOKUP($F38,REP_Info!$D$6:$H$250,5,FALSE)</f>
        <v>2.0139999999999998</v>
      </c>
      <c r="BK38" s="30">
        <f t="shared" si="62"/>
        <v>12.115500000000001</v>
      </c>
      <c r="BL38" s="30">
        <f t="shared" si="62"/>
        <v>11.7095</v>
      </c>
      <c r="BM38" s="30">
        <f t="shared" si="62"/>
        <v>11.506500000000001</v>
      </c>
      <c r="BN38" s="29">
        <f t="shared" si="62"/>
        <v>11.438833333333333</v>
      </c>
      <c r="BO38" s="85" t="str">
        <f t="shared" ref="BO38" si="72">IFERROR(SUMPRODUCT($BS$7:$CD$7,$BS38:$CD38)/100,"$$$")</f>
        <v>$$$</v>
      </c>
      <c r="BP38" s="88" t="str">
        <f t="shared" si="63"/>
        <v>$$$</v>
      </c>
      <c r="BQ38" s="88" t="str">
        <f t="shared" ref="BQ38" si="73">IFERROR(SUMPRODUCT($BS$7:$CD$7,$BS38:$CD38,--($BS$4:$CD$4&lt;=$Q38))/SUMPRODUCT(--($BS$4:$CD$4&lt;=$Q38),$BS$7:$CD$7),"$$$")</f>
        <v>$$$</v>
      </c>
      <c r="BR38" s="88" t="str">
        <f t="shared" ref="BR38" si="74">IFERROR($BQ38-$BF38*100*SUMPRODUCT(--($BS$4:$CD$4&lt;=$Q38))/SUMPRODUCT(--($BS$4:$CD$4&lt;=$Q38),$BS$7:$CD$7)-$BG38*100,"$$$")</f>
        <v>$$$</v>
      </c>
      <c r="BS38" s="29" t="e">
        <f t="shared" si="64"/>
        <v>#N/A</v>
      </c>
      <c r="BT38" s="29" t="e">
        <f t="shared" si="64"/>
        <v>#N/A</v>
      </c>
      <c r="BU38" s="29" t="e">
        <f t="shared" si="64"/>
        <v>#N/A</v>
      </c>
      <c r="BV38" s="29" t="e">
        <f t="shared" si="64"/>
        <v>#N/A</v>
      </c>
      <c r="BW38" s="29" t="e">
        <f t="shared" si="64"/>
        <v>#N/A</v>
      </c>
      <c r="BX38" s="29" t="e">
        <f t="shared" si="64"/>
        <v>#N/A</v>
      </c>
      <c r="BY38" s="29" t="e">
        <f t="shared" si="64"/>
        <v>#N/A</v>
      </c>
      <c r="BZ38" s="29" t="e">
        <f t="shared" si="64"/>
        <v>#N/A</v>
      </c>
      <c r="CA38" s="29" t="e">
        <f t="shared" si="64"/>
        <v>#N/A</v>
      </c>
      <c r="CB38" s="29" t="e">
        <f t="shared" si="64"/>
        <v>#N/A</v>
      </c>
      <c r="CC38" s="29" t="e">
        <f t="shared" si="64"/>
        <v>#N/A</v>
      </c>
      <c r="CD38" s="29" t="e">
        <f t="shared" si="64"/>
        <v>#N/A</v>
      </c>
      <c r="CE38" s="6" t="str">
        <f t="shared" si="7"/>
        <v/>
      </c>
      <c r="CF38" s="27" t="e">
        <f>IF(AND(CI38,NOT(AD38)),LOOKUP(CF$5,{0,750,1500},H38:J38),"")</f>
        <v>#N/A</v>
      </c>
      <c r="CG38" s="6" t="str">
        <f t="shared" si="8"/>
        <v/>
      </c>
      <c r="CH38" t="e">
        <f t="shared" si="65"/>
        <v>#N/A</v>
      </c>
      <c r="CI38" t="e">
        <f t="shared" si="66"/>
        <v>#N/A</v>
      </c>
      <c r="CJ38" s="6" t="e">
        <f t="shared" ref="CJ38" si="75">IF($E38=CJ$5,1,0)</f>
        <v>#N/A</v>
      </c>
      <c r="CK38" s="6">
        <f t="shared" ref="CK38" si="76">IF(CK$5="[Any]",1,IF($F38=CK$5,1,0))</f>
        <v>1</v>
      </c>
      <c r="CL38" s="6">
        <f t="shared" ref="CL38" si="77">IFERROR(--OR(ISBLANK(CL$5),$BJ38="",AND(ISNUMBER($BJ38),$BJ38&lt;=CL$5)),1)</f>
        <v>1</v>
      </c>
      <c r="CM38" s="6">
        <f t="shared" ref="CM38" si="78">IF($O38="Fixed",1,0)</f>
        <v>1</v>
      </c>
      <c r="CN38" s="6">
        <f t="shared" ref="CN38" si="79">IF($Q38&gt;=CN$5,1,0)</f>
        <v>0</v>
      </c>
      <c r="CO38" s="6">
        <f t="shared" ref="CO38" si="80">IF($Q38&lt;=CO$5,1,0)</f>
        <v>1</v>
      </c>
      <c r="CP38" s="6">
        <f t="shared" ref="CP38" si="81">IF($P38&gt;=CP$5,1,0)</f>
        <v>1</v>
      </c>
      <c r="CQ38" s="6">
        <f t="shared" si="67"/>
        <v>1</v>
      </c>
      <c r="CR38" s="81" t="str">
        <f t="shared" ref="CR38" si="82">IF(ISNUMBER($CH38),$CH38+$CS38+$CW38,"")</f>
        <v/>
      </c>
      <c r="CS38">
        <f t="shared" si="68"/>
        <v>1.6363636363636349</v>
      </c>
      <c r="CT38">
        <f t="shared" si="19"/>
        <v>150</v>
      </c>
      <c r="CU38" t="str">
        <f t="shared" ref="CU38" si="83">IF(AND(ISERR(FIND("remain",$R38)),ISERR(FIND("left",$R38))),"","r")&amp;IF(ISERR(FIND("mon",$R38)),"","m")</f>
        <v/>
      </c>
      <c r="CV38" s="81">
        <f t="shared" si="69"/>
        <v>150</v>
      </c>
      <c r="CW38" s="81">
        <f>(CV38/25)^1.5*(Calculator!$BU$4/10000)*CW$5</f>
        <v>37.949052970673385</v>
      </c>
      <c r="CX38" t="str">
        <f t="shared" si="70"/>
        <v>$150</v>
      </c>
    </row>
    <row r="39" spans="2:102" x14ac:dyDescent="0.25">
      <c r="B39" s="115" t="s">
        <v>233</v>
      </c>
      <c r="C39" s="13">
        <v>46237.767361111109</v>
      </c>
      <c r="D39">
        <v>33633</v>
      </c>
      <c r="E39" s="54" t="s">
        <v>235</v>
      </c>
      <c r="F39" s="54" t="s">
        <v>332</v>
      </c>
      <c r="G39" s="54" t="s">
        <v>1883</v>
      </c>
      <c r="H39" s="55">
        <v>11.5</v>
      </c>
      <c r="I39" s="55">
        <v>11</v>
      </c>
      <c r="J39" s="55">
        <v>10.8</v>
      </c>
      <c r="K39" s="54"/>
      <c r="L39" s="56" t="b">
        <v>0</v>
      </c>
      <c r="M39" s="56" t="b">
        <v>0</v>
      </c>
      <c r="N39" s="54">
        <v>1</v>
      </c>
      <c r="O39" s="54" t="s">
        <v>228</v>
      </c>
      <c r="P39" s="54">
        <v>6</v>
      </c>
      <c r="Q39" s="54">
        <v>11</v>
      </c>
      <c r="R39" s="54">
        <v>150</v>
      </c>
      <c r="S39" s="54" t="s">
        <v>334</v>
      </c>
      <c r="T39" s="54" t="s">
        <v>1884</v>
      </c>
      <c r="U39" s="54" t="s">
        <v>1869</v>
      </c>
      <c r="V39" s="54" t="s">
        <v>1888</v>
      </c>
      <c r="W39" s="54" t="b">
        <v>0</v>
      </c>
      <c r="X39" s="54"/>
      <c r="Y39" s="57" t="s">
        <v>1889</v>
      </c>
      <c r="Z39" s="54" t="s">
        <v>1890</v>
      </c>
      <c r="AA39" s="54"/>
      <c r="AB39" s="54" t="s">
        <v>339</v>
      </c>
      <c r="AC39" s="56" t="b">
        <v>1</v>
      </c>
      <c r="AD39" s="56" t="b">
        <v>0</v>
      </c>
      <c r="AE39" s="54" t="s">
        <v>303</v>
      </c>
      <c r="AF39" s="58">
        <v>46237</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5.364E-2</v>
      </c>
      <c r="BC39" s="60">
        <v>4.9000000000000004</v>
      </c>
      <c r="BD39" s="61">
        <v>5.1461E-2</v>
      </c>
      <c r="BE39" s="62" t="s">
        <v>293</v>
      </c>
      <c r="BF39" s="35">
        <f t="shared" si="0"/>
        <v>4.9000000000000004</v>
      </c>
      <c r="BG39" s="35">
        <f t="shared" si="0"/>
        <v>5.1461E-2</v>
      </c>
      <c r="BH39" s="35" t="str">
        <f t="shared" ref="BH39:BH40" si="84">IF(ISTEXT(BE39),IF(AND(AV39=0,SUM(AN39:AQ39)=0),IF(AM39&lt;=0,IF(BE39="Y","Low","Flat"),"Med"),"High"),"?")</f>
        <v>Low</v>
      </c>
      <c r="BI39" s="110">
        <f t="shared" ref="BI39:BI40" si="85">IF(ISNUMBER(AH39),0*BI$5*SIN((EDATE($A$3,$Q39)-DATE(YEAR(EDATE($A$3,$Q39)),1,0)-BI$4)*2*PI()/365),"")</f>
        <v>0</v>
      </c>
      <c r="BJ39" s="83">
        <f>VLOOKUP($F39,REP_Info!$D$6:$H$250,5,FALSE)</f>
        <v>2.0139999999999998</v>
      </c>
      <c r="BK39" s="30">
        <f t="shared" ref="BK39:BN40" si="86">IF(BK$7&gt;0,(LOOKUP(BK$7,$AH39:$AL39,$AM39:$AQ39)+IF($AG39="Y",SUMPRODUCT($AX39:$BB39-$AW39:$BA39,BK$7-$AR39:$AV39,N(BK$7&gt;$AR39:$AV39)),BK$7*LOOKUP(BK$7,$AR39:$AV39,$AX39:$BB39))+IF($BE39="Y",$BF39,$BC39)+BK$7*IF($BE39="Y",$BG39,$BD39))*100/BK$7,"")</f>
        <v>11.4901</v>
      </c>
      <c r="BL39" s="30">
        <f t="shared" si="86"/>
        <v>11.0001</v>
      </c>
      <c r="BM39" s="30">
        <f t="shared" si="86"/>
        <v>10.755100000000001</v>
      </c>
      <c r="BN39" s="29">
        <f t="shared" si="86"/>
        <v>10.673433333333332</v>
      </c>
      <c r="BO39" s="85" t="str">
        <f t="shared" si="2"/>
        <v>$$$</v>
      </c>
      <c r="BP39" s="88" t="str">
        <f t="shared" ref="BP39:BP40" si="87">IFERROR(BO39*100/BO$5,"$$$")</f>
        <v>$$$</v>
      </c>
      <c r="BQ39" s="88" t="str">
        <f t="shared" si="4"/>
        <v>$$$</v>
      </c>
      <c r="BR39" s="88" t="str">
        <f t="shared" si="5"/>
        <v>$$$</v>
      </c>
      <c r="BS39" s="29" t="e">
        <f t="shared" ref="BS39:CD40" si="88">IF($CI39,IF(BS$7&gt;0,IF(BS$4&gt;$Q39,$BF39+BS$7*(BS$5+$BG39+$BI39),LOOKUP(BS$7,$AH39:$AL39,$AM39:$AQ39)+IF($AG39="Y",SUMPRODUCT($AX39:$BB39-$AW39:$BA39,BS$7-$AR39:$AV39,N(BS$7&gt;$AR39:$AV39)),BS$7*LOOKUP(BS$7,$AR39:$AV39,$AX39:$BB39))+IF($BE39="Y",$BF39,$BC39)+BS$7*IF($BE39="Y",$BG39,$BD39))*100/BS$7,""),NA())</f>
        <v>#N/A</v>
      </c>
      <c r="BT39" s="29" t="e">
        <f t="shared" si="88"/>
        <v>#N/A</v>
      </c>
      <c r="BU39" s="29" t="e">
        <f t="shared" si="88"/>
        <v>#N/A</v>
      </c>
      <c r="BV39" s="29" t="e">
        <f t="shared" si="88"/>
        <v>#N/A</v>
      </c>
      <c r="BW39" s="29" t="e">
        <f t="shared" si="88"/>
        <v>#N/A</v>
      </c>
      <c r="BX39" s="29" t="e">
        <f t="shared" si="88"/>
        <v>#N/A</v>
      </c>
      <c r="BY39" s="29" t="e">
        <f t="shared" si="88"/>
        <v>#N/A</v>
      </c>
      <c r="BZ39" s="29" t="e">
        <f t="shared" si="88"/>
        <v>#N/A</v>
      </c>
      <c r="CA39" s="29" t="e">
        <f t="shared" si="88"/>
        <v>#N/A</v>
      </c>
      <c r="CB39" s="29" t="e">
        <f t="shared" si="88"/>
        <v>#N/A</v>
      </c>
      <c r="CC39" s="29" t="e">
        <f t="shared" si="88"/>
        <v>#N/A</v>
      </c>
      <c r="CD39" s="29" t="e">
        <f t="shared" si="88"/>
        <v>#N/A</v>
      </c>
      <c r="CE39" s="6" t="str">
        <f t="shared" si="7"/>
        <v/>
      </c>
      <c r="CF39" s="27" t="e">
        <f>IF(AND(CI39,NOT(AD39)),LOOKUP(CF$5,{0,750,1500},H39:J39),"")</f>
        <v>#N/A</v>
      </c>
      <c r="CG39" s="6" t="str">
        <f t="shared" si="8"/>
        <v/>
      </c>
      <c r="CH39" t="e">
        <f t="shared" ref="CH39:CH40" si="89">IF(CI39,IF(ISNUMBER(BO39),BO39,100000)+CV39/10000+IF(ISNUMBER(BJ39),BJ39,2)/10000-P39/100000+ROW()/10000000,"")</f>
        <v>#N/A</v>
      </c>
      <c r="CI39" t="e">
        <f t="shared" ref="CI39:CI40" si="90">PRODUCT(CJ39:CQ39)</f>
        <v>#N/A</v>
      </c>
      <c r="CJ39" s="6" t="e">
        <f t="shared" si="11"/>
        <v>#N/A</v>
      </c>
      <c r="CK39" s="6">
        <f t="shared" si="12"/>
        <v>1</v>
      </c>
      <c r="CL39" s="6">
        <f t="shared" si="26"/>
        <v>1</v>
      </c>
      <c r="CM39" s="6">
        <f t="shared" si="13"/>
        <v>1</v>
      </c>
      <c r="CN39" s="6">
        <f t="shared" si="14"/>
        <v>0</v>
      </c>
      <c r="CO39" s="6">
        <f t="shared" si="15"/>
        <v>1</v>
      </c>
      <c r="CP39" s="6">
        <f t="shared" si="16"/>
        <v>1</v>
      </c>
      <c r="CQ39" s="6">
        <f t="shared" ref="CQ39:CQ40" si="91">IF(CQ$5="Any",1,IF(AND(CQ$5="Med",AV39=0,SUM(AN39:AQ39)=0),1,IF(AND(CQ$5="Low",AV39=0,SUM(AN39:AQ39)=0,AM39=0),1,IF(AND(CQ$5="Flat",AV39=0,SUM(AN39:AQ39)=0,AM39=0,IFERROR(NOT(BE39="Y"),0)),1,0))))</f>
        <v>1</v>
      </c>
      <c r="CR39" s="81" t="str">
        <f t="shared" si="17"/>
        <v/>
      </c>
      <c r="CS39">
        <f t="shared" ref="CS39:CS40" si="92">CS$5*(12/(MIN(12,Q39))-1)</f>
        <v>1.6363636363636349</v>
      </c>
      <c r="CT39">
        <f t="shared" si="19"/>
        <v>150</v>
      </c>
      <c r="CU39" t="str">
        <f t="shared" si="29"/>
        <v/>
      </c>
      <c r="CV39" s="81">
        <f t="shared" ref="CV39:CV40" si="93">CT39*IF(CU39="",1,Q39)</f>
        <v>150</v>
      </c>
      <c r="CW39" s="81">
        <f>(CV39/25)^1.5*(Calculator!$BU$4/10000)*CW$5</f>
        <v>37.949052970673385</v>
      </c>
      <c r="CX39" t="str">
        <f t="shared" ref="CX39:CX40" si="94">"$"&amp;IF(LEFT(CU39,1)="r",CT39&amp;"/"&amp;CU39,CV39)</f>
        <v>$150</v>
      </c>
    </row>
    <row r="40" spans="2:102" x14ac:dyDescent="0.25">
      <c r="B40" s="115" t="s">
        <v>233</v>
      </c>
      <c r="C40" s="13">
        <v>46230.89166666667</v>
      </c>
      <c r="D40">
        <v>36178</v>
      </c>
      <c r="E40" s="54" t="s">
        <v>235</v>
      </c>
      <c r="F40" s="54" t="s">
        <v>365</v>
      </c>
      <c r="G40" s="54" t="s">
        <v>1772</v>
      </c>
      <c r="H40" s="55">
        <v>13.600000000000001</v>
      </c>
      <c r="I40" s="55">
        <v>13.100000000000001</v>
      </c>
      <c r="J40" s="55">
        <v>12.9</v>
      </c>
      <c r="K40" s="54"/>
      <c r="L40" s="56" t="b">
        <v>0</v>
      </c>
      <c r="M40" s="56" t="b">
        <v>0</v>
      </c>
      <c r="N40" s="54">
        <v>1</v>
      </c>
      <c r="O40" s="54" t="s">
        <v>228</v>
      </c>
      <c r="P40" s="54">
        <v>23</v>
      </c>
      <c r="Q40" s="54">
        <v>10</v>
      </c>
      <c r="R40" s="54" t="s">
        <v>366</v>
      </c>
      <c r="S40" s="54" t="s">
        <v>367</v>
      </c>
      <c r="T40" s="54" t="s">
        <v>368</v>
      </c>
      <c r="U40" s="54" t="s">
        <v>369</v>
      </c>
      <c r="V40" s="54" t="s">
        <v>370</v>
      </c>
      <c r="W40" s="54" t="b">
        <v>0</v>
      </c>
      <c r="X40" s="54"/>
      <c r="Y40" s="57" t="s">
        <v>1773</v>
      </c>
      <c r="Z40" s="54" t="s">
        <v>367</v>
      </c>
      <c r="AA40" s="54"/>
      <c r="AB40" s="54" t="s">
        <v>371</v>
      </c>
      <c r="AC40" s="56" t="b">
        <v>1</v>
      </c>
      <c r="AD40" s="56" t="b">
        <v>0</v>
      </c>
      <c r="AE40" s="54" t="s">
        <v>303</v>
      </c>
      <c r="AF40" s="58">
        <v>46230</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7.4899999999999994E-2</v>
      </c>
      <c r="BC40" s="60">
        <v>4.9000000000000004</v>
      </c>
      <c r="BD40" s="61">
        <v>5.1461E-2</v>
      </c>
      <c r="BE40" s="62" t="s">
        <v>293</v>
      </c>
      <c r="BF40" s="35">
        <f t="shared" si="0"/>
        <v>4.9000000000000004</v>
      </c>
      <c r="BG40" s="35">
        <f t="shared" si="0"/>
        <v>5.1461E-2</v>
      </c>
      <c r="BH40" s="35" t="str">
        <f t="shared" si="84"/>
        <v>Low</v>
      </c>
      <c r="BI40" s="110">
        <f t="shared" si="85"/>
        <v>0</v>
      </c>
      <c r="BJ40" s="83" t="str">
        <f>VLOOKUP($F40,REP_Info!$D$6:$H$250,5,FALSE)</f>
        <v/>
      </c>
      <c r="BK40" s="30">
        <f t="shared" si="86"/>
        <v>13.616100000000001</v>
      </c>
      <c r="BL40" s="30">
        <f t="shared" si="86"/>
        <v>13.126100000000001</v>
      </c>
      <c r="BM40" s="30">
        <f t="shared" si="86"/>
        <v>12.881099999999998</v>
      </c>
      <c r="BN40" s="29">
        <f t="shared" si="86"/>
        <v>12.799433333333335</v>
      </c>
      <c r="BO40" s="85" t="str">
        <f t="shared" si="2"/>
        <v>$$$</v>
      </c>
      <c r="BP40" s="88" t="str">
        <f t="shared" si="87"/>
        <v>$$$</v>
      </c>
      <c r="BQ40" s="88" t="str">
        <f t="shared" si="4"/>
        <v>$$$</v>
      </c>
      <c r="BR40" s="88" t="str">
        <f t="shared" si="5"/>
        <v>$$$</v>
      </c>
      <c r="BS40" s="29" t="e">
        <f t="shared" si="88"/>
        <v>#N/A</v>
      </c>
      <c r="BT40" s="29" t="e">
        <f t="shared" si="88"/>
        <v>#N/A</v>
      </c>
      <c r="BU40" s="29" t="e">
        <f t="shared" si="88"/>
        <v>#N/A</v>
      </c>
      <c r="BV40" s="29" t="e">
        <f t="shared" si="88"/>
        <v>#N/A</v>
      </c>
      <c r="BW40" s="29" t="e">
        <f t="shared" si="88"/>
        <v>#N/A</v>
      </c>
      <c r="BX40" s="29" t="e">
        <f t="shared" si="88"/>
        <v>#N/A</v>
      </c>
      <c r="BY40" s="29" t="e">
        <f t="shared" si="88"/>
        <v>#N/A</v>
      </c>
      <c r="BZ40" s="29" t="e">
        <f t="shared" si="88"/>
        <v>#N/A</v>
      </c>
      <c r="CA40" s="29" t="e">
        <f t="shared" si="88"/>
        <v>#N/A</v>
      </c>
      <c r="CB40" s="29" t="e">
        <f t="shared" si="88"/>
        <v>#N/A</v>
      </c>
      <c r="CC40" s="29" t="e">
        <f t="shared" si="88"/>
        <v>#N/A</v>
      </c>
      <c r="CD40" s="29" t="e">
        <f t="shared" si="88"/>
        <v>#N/A</v>
      </c>
      <c r="CE40" s="6" t="str">
        <f t="shared" si="7"/>
        <v/>
      </c>
      <c r="CF40" s="27" t="e">
        <f>IF(AND(CI40,NOT(AD40)),LOOKUP(CF$5,{0,750,1500},H40:J40),"")</f>
        <v>#N/A</v>
      </c>
      <c r="CG40" s="6" t="str">
        <f t="shared" si="8"/>
        <v/>
      </c>
      <c r="CH40" t="e">
        <f t="shared" si="89"/>
        <v>#N/A</v>
      </c>
      <c r="CI40" t="e">
        <f t="shared" si="90"/>
        <v>#N/A</v>
      </c>
      <c r="CJ40" s="6" t="e">
        <f t="shared" si="11"/>
        <v>#N/A</v>
      </c>
      <c r="CK40" s="6">
        <f t="shared" si="12"/>
        <v>1</v>
      </c>
      <c r="CL40" s="6">
        <f t="shared" si="26"/>
        <v>1</v>
      </c>
      <c r="CM40" s="6">
        <f t="shared" si="13"/>
        <v>1</v>
      </c>
      <c r="CN40" s="6">
        <f t="shared" si="14"/>
        <v>0</v>
      </c>
      <c r="CO40" s="6">
        <f t="shared" si="15"/>
        <v>1</v>
      </c>
      <c r="CP40" s="6">
        <f t="shared" si="16"/>
        <v>1</v>
      </c>
      <c r="CQ40" s="6">
        <f t="shared" si="91"/>
        <v>1</v>
      </c>
      <c r="CR40" s="81" t="str">
        <f t="shared" si="17"/>
        <v/>
      </c>
      <c r="CS40">
        <f t="shared" si="92"/>
        <v>3.5999999999999992</v>
      </c>
      <c r="CT40">
        <f t="shared" si="19"/>
        <v>20</v>
      </c>
      <c r="CU40" t="str">
        <f t="shared" si="29"/>
        <v>rm</v>
      </c>
      <c r="CV40" s="81">
        <f t="shared" si="93"/>
        <v>200</v>
      </c>
      <c r="CW40" s="81">
        <f>(CV40/25)^1.5*(Calculator!$BU$4/10000)*CW$5</f>
        <v>58.426389194959008</v>
      </c>
      <c r="CX40" t="str">
        <f t="shared" si="94"/>
        <v>$20/rm</v>
      </c>
    </row>
    <row r="41" spans="2:102" x14ac:dyDescent="0.25">
      <c r="B41" s="115" t="s">
        <v>233</v>
      </c>
      <c r="C41" s="13">
        <v>46237.767361111109</v>
      </c>
      <c r="D41">
        <v>36180</v>
      </c>
      <c r="E41" s="54" t="s">
        <v>237</v>
      </c>
      <c r="F41" s="54" t="s">
        <v>365</v>
      </c>
      <c r="G41" s="54" t="s">
        <v>1772</v>
      </c>
      <c r="H41" s="55">
        <v>14.299999999999999</v>
      </c>
      <c r="I41" s="55">
        <v>13.900000000000002</v>
      </c>
      <c r="J41" s="55">
        <v>13.700000000000001</v>
      </c>
      <c r="K41" s="54"/>
      <c r="L41" s="56" t="b">
        <v>0</v>
      </c>
      <c r="M41" s="56" t="b">
        <v>0</v>
      </c>
      <c r="N41" s="54">
        <v>1</v>
      </c>
      <c r="O41" s="54" t="s">
        <v>228</v>
      </c>
      <c r="P41" s="54">
        <v>23</v>
      </c>
      <c r="Q41" s="54">
        <v>10</v>
      </c>
      <c r="R41" s="54" t="s">
        <v>366</v>
      </c>
      <c r="S41" s="54" t="s">
        <v>367</v>
      </c>
      <c r="T41" s="54" t="s">
        <v>368</v>
      </c>
      <c r="U41" s="54" t="s">
        <v>369</v>
      </c>
      <c r="V41" s="54" t="s">
        <v>370</v>
      </c>
      <c r="W41" s="54" t="b">
        <v>0</v>
      </c>
      <c r="X41" s="54"/>
      <c r="Y41" s="57" t="s">
        <v>1774</v>
      </c>
      <c r="Z41" s="54" t="s">
        <v>367</v>
      </c>
      <c r="AA41" s="54"/>
      <c r="AB41" s="54" t="s">
        <v>371</v>
      </c>
      <c r="AC41" s="56" t="b">
        <v>1</v>
      </c>
      <c r="AD41" s="56" t="b">
        <v>0</v>
      </c>
      <c r="AE41" s="54" t="s">
        <v>303</v>
      </c>
      <c r="AF41" s="58">
        <v>46237</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7.4899999999999994E-2</v>
      </c>
      <c r="BC41" s="60">
        <v>4.0599999999999996</v>
      </c>
      <c r="BD41" s="61">
        <v>6.0295000000000001E-2</v>
      </c>
      <c r="BE41" s="62" t="s">
        <v>293</v>
      </c>
      <c r="BF41" s="35">
        <f t="shared" si="0"/>
        <v>4.0600000000000005</v>
      </c>
      <c r="BG41" s="35">
        <f t="shared" si="0"/>
        <v>6.0295000000000001E-2</v>
      </c>
      <c r="BH41" s="35" t="str">
        <f t="shared" ref="BH41:BH42" si="95">IF(ISTEXT(BE41),IF(AND(AV41=0,SUM(AN41:AQ41)=0),IF(AM41&lt;=0,IF(BE41="Y","Low","Flat"),"Med"),"High"),"?")</f>
        <v>Low</v>
      </c>
      <c r="BI41" s="110">
        <f t="shared" ref="BI41:BI42" si="96">IF(ISNUMBER(AH41),0*BI$5*SIN((EDATE($A$3,$Q41)-DATE(YEAR(EDATE($A$3,$Q41)),1,0)-BI$4)*2*PI()/365),"")</f>
        <v>0</v>
      </c>
      <c r="BJ41" s="83" t="str">
        <f>VLOOKUP($F41,REP_Info!$D$6:$H$250,5,FALSE)</f>
        <v/>
      </c>
      <c r="BK41" s="30">
        <f t="shared" ref="BK41:BN42" si="97">IF(BK$7&gt;0,(LOOKUP(BK$7,$AH41:$AL41,$AM41:$AQ41)+IF($AG41="Y",SUMPRODUCT($AX41:$BB41-$AW41:$BA41,BK$7-$AR41:$AV41,N(BK$7&gt;$AR41:$AV41)),BK$7*LOOKUP(BK$7,$AR41:$AV41,$AX41:$BB41))+IF($BE41="Y",$BF41,$BC41)+BK$7*IF($BE41="Y",$BG41,$BD41))*100/BK$7,"")</f>
        <v>14.3315</v>
      </c>
      <c r="BL41" s="30">
        <f t="shared" si="97"/>
        <v>13.9255</v>
      </c>
      <c r="BM41" s="30">
        <f t="shared" si="97"/>
        <v>13.7225</v>
      </c>
      <c r="BN41" s="29">
        <f t="shared" si="97"/>
        <v>13.654833333333332</v>
      </c>
      <c r="BO41" s="85" t="str">
        <f t="shared" si="2"/>
        <v>$$$</v>
      </c>
      <c r="BP41" s="88" t="str">
        <f t="shared" ref="BP41:BP42" si="98">IFERROR(BO41*100/BO$5,"$$$")</f>
        <v>$$$</v>
      </c>
      <c r="BQ41" s="88" t="str">
        <f t="shared" si="4"/>
        <v>$$$</v>
      </c>
      <c r="BR41" s="88" t="str">
        <f t="shared" si="5"/>
        <v>$$$</v>
      </c>
      <c r="BS41" s="29" t="e">
        <f t="shared" ref="BS41:CD42" si="99">IF($CI41,IF(BS$7&gt;0,IF(BS$4&gt;$Q41,$BF41+BS$7*(BS$5+$BG41+$BI41),LOOKUP(BS$7,$AH41:$AL41,$AM41:$AQ41)+IF($AG41="Y",SUMPRODUCT($AX41:$BB41-$AW41:$BA41,BS$7-$AR41:$AV41,N(BS$7&gt;$AR41:$AV41)),BS$7*LOOKUP(BS$7,$AR41:$AV41,$AX41:$BB41))+IF($BE41="Y",$BF41,$BC41)+BS$7*IF($BE41="Y",$BG41,$BD41))*100/BS$7,""),NA())</f>
        <v>#N/A</v>
      </c>
      <c r="BT41" s="29" t="e">
        <f t="shared" si="99"/>
        <v>#N/A</v>
      </c>
      <c r="BU41" s="29" t="e">
        <f t="shared" si="99"/>
        <v>#N/A</v>
      </c>
      <c r="BV41" s="29" t="e">
        <f t="shared" si="99"/>
        <v>#N/A</v>
      </c>
      <c r="BW41" s="29" t="e">
        <f t="shared" si="99"/>
        <v>#N/A</v>
      </c>
      <c r="BX41" s="29" t="e">
        <f t="shared" si="99"/>
        <v>#N/A</v>
      </c>
      <c r="BY41" s="29" t="e">
        <f t="shared" si="99"/>
        <v>#N/A</v>
      </c>
      <c r="BZ41" s="29" t="e">
        <f t="shared" si="99"/>
        <v>#N/A</v>
      </c>
      <c r="CA41" s="29" t="e">
        <f t="shared" si="99"/>
        <v>#N/A</v>
      </c>
      <c r="CB41" s="29" t="e">
        <f t="shared" si="99"/>
        <v>#N/A</v>
      </c>
      <c r="CC41" s="29" t="e">
        <f t="shared" si="99"/>
        <v>#N/A</v>
      </c>
      <c r="CD41" s="29" t="e">
        <f t="shared" si="99"/>
        <v>#N/A</v>
      </c>
      <c r="CE41" s="6" t="str">
        <f t="shared" si="7"/>
        <v/>
      </c>
      <c r="CF41" s="27" t="e">
        <f>IF(AND(CI41,NOT(AD41)),LOOKUP(CF$5,{0,750,1500},H41:J41),"")</f>
        <v>#N/A</v>
      </c>
      <c r="CG41" s="6" t="str">
        <f t="shared" si="8"/>
        <v/>
      </c>
      <c r="CH41" t="e">
        <f t="shared" ref="CH41:CH42" si="100">IF(CI41,IF(ISNUMBER(BO41),BO41,100000)+CV41/10000+IF(ISNUMBER(BJ41),BJ41,2)/10000-P41/100000+ROW()/10000000,"")</f>
        <v>#N/A</v>
      </c>
      <c r="CI41" t="e">
        <f t="shared" ref="CI41:CI42" si="101">PRODUCT(CJ41:CQ41)</f>
        <v>#N/A</v>
      </c>
      <c r="CJ41" s="6" t="e">
        <f t="shared" si="11"/>
        <v>#N/A</v>
      </c>
      <c r="CK41" s="6">
        <f t="shared" si="12"/>
        <v>1</v>
      </c>
      <c r="CL41" s="6">
        <f t="shared" si="26"/>
        <v>1</v>
      </c>
      <c r="CM41" s="6">
        <f t="shared" si="13"/>
        <v>1</v>
      </c>
      <c r="CN41" s="6">
        <f t="shared" si="14"/>
        <v>0</v>
      </c>
      <c r="CO41" s="6">
        <f t="shared" si="15"/>
        <v>1</v>
      </c>
      <c r="CP41" s="6">
        <f t="shared" si="16"/>
        <v>1</v>
      </c>
      <c r="CQ41" s="6">
        <f t="shared" ref="CQ41:CQ42" si="102">IF(CQ$5="Any",1,IF(AND(CQ$5="Med",AV41=0,SUM(AN41:AQ41)=0),1,IF(AND(CQ$5="Low",AV41=0,SUM(AN41:AQ41)=0,AM41=0),1,IF(AND(CQ$5="Flat",AV41=0,SUM(AN41:AQ41)=0,AM41=0,IFERROR(NOT(BE41="Y"),0)),1,0))))</f>
        <v>1</v>
      </c>
      <c r="CR41" s="81" t="str">
        <f t="shared" si="17"/>
        <v/>
      </c>
      <c r="CS41">
        <f t="shared" ref="CS41:CS42" si="103">CS$5*(12/(MIN(12,Q41))-1)</f>
        <v>3.5999999999999992</v>
      </c>
      <c r="CT41">
        <f t="shared" si="19"/>
        <v>20</v>
      </c>
      <c r="CU41" t="str">
        <f t="shared" si="29"/>
        <v>rm</v>
      </c>
      <c r="CV41" s="81">
        <f t="shared" ref="CV41:CV42" si="104">CT41*IF(CU41="",1,Q41)</f>
        <v>200</v>
      </c>
      <c r="CW41" s="81">
        <f>(CV41/25)^1.5*(Calculator!$BU$4/10000)*CW$5</f>
        <v>58.426389194959008</v>
      </c>
      <c r="CX41" t="str">
        <f t="shared" ref="CX41:CX42" si="105">"$"&amp;IF(LEFT(CU41,1)="r",CT41&amp;"/"&amp;CU41,CV41)</f>
        <v>$20/rm</v>
      </c>
    </row>
    <row r="42" spans="2:102" x14ac:dyDescent="0.25">
      <c r="B42" s="115" t="s">
        <v>233</v>
      </c>
      <c r="C42" s="13">
        <v>46230.89166666667</v>
      </c>
      <c r="D42">
        <v>36184</v>
      </c>
      <c r="E42" s="54" t="s">
        <v>235</v>
      </c>
      <c r="F42" s="54" t="s">
        <v>365</v>
      </c>
      <c r="G42" s="54" t="s">
        <v>372</v>
      </c>
      <c r="H42" s="55">
        <v>14.499999999999998</v>
      </c>
      <c r="I42" s="55">
        <v>14.000000000000002</v>
      </c>
      <c r="J42" s="55">
        <v>13.8</v>
      </c>
      <c r="K42" s="54"/>
      <c r="L42" s="56" t="b">
        <v>0</v>
      </c>
      <c r="M42" s="56" t="b">
        <v>0</v>
      </c>
      <c r="N42" s="54">
        <v>1</v>
      </c>
      <c r="O42" s="54" t="s">
        <v>228</v>
      </c>
      <c r="P42" s="54">
        <v>23</v>
      </c>
      <c r="Q42" s="54">
        <v>36</v>
      </c>
      <c r="R42" s="54" t="s">
        <v>366</v>
      </c>
      <c r="S42" s="54" t="s">
        <v>367</v>
      </c>
      <c r="T42" s="54" t="s">
        <v>368</v>
      </c>
      <c r="U42" s="54" t="s">
        <v>369</v>
      </c>
      <c r="V42" s="54" t="s">
        <v>370</v>
      </c>
      <c r="W42" s="54" t="b">
        <v>0</v>
      </c>
      <c r="X42" s="54"/>
      <c r="Y42" s="57" t="s">
        <v>373</v>
      </c>
      <c r="Z42" s="54" t="s">
        <v>367</v>
      </c>
      <c r="AA42" s="54"/>
      <c r="AB42" s="54" t="s">
        <v>371</v>
      </c>
      <c r="AC42" s="56" t="b">
        <v>1</v>
      </c>
      <c r="AD42" s="56" t="b">
        <v>0</v>
      </c>
      <c r="AE42" s="54" t="s">
        <v>303</v>
      </c>
      <c r="AF42" s="58">
        <v>46230</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8.3900000000000002E-2</v>
      </c>
      <c r="BC42" s="60">
        <v>4.9000000000000004</v>
      </c>
      <c r="BD42" s="61">
        <v>5.1461E-2</v>
      </c>
      <c r="BE42" s="62" t="s">
        <v>293</v>
      </c>
      <c r="BF42" s="35">
        <f t="shared" si="0"/>
        <v>4.9000000000000004</v>
      </c>
      <c r="BG42" s="35">
        <f t="shared" si="0"/>
        <v>5.1461E-2</v>
      </c>
      <c r="BH42" s="35" t="str">
        <f t="shared" si="95"/>
        <v>Low</v>
      </c>
      <c r="BI42" s="110">
        <f t="shared" si="96"/>
        <v>0</v>
      </c>
      <c r="BJ42" s="83" t="str">
        <f>VLOOKUP($F42,REP_Info!$D$6:$H$250,5,FALSE)</f>
        <v/>
      </c>
      <c r="BK42" s="30">
        <f t="shared" si="97"/>
        <v>14.5161</v>
      </c>
      <c r="BL42" s="30">
        <f t="shared" si="97"/>
        <v>14.026100000000001</v>
      </c>
      <c r="BM42" s="30">
        <f t="shared" si="97"/>
        <v>13.7811</v>
      </c>
      <c r="BN42" s="29">
        <f t="shared" si="97"/>
        <v>13.699433333333335</v>
      </c>
      <c r="BO42" s="85" t="str">
        <f t="shared" si="2"/>
        <v>$$$</v>
      </c>
      <c r="BP42" s="88" t="str">
        <f t="shared" si="98"/>
        <v>$$$</v>
      </c>
      <c r="BQ42" s="88" t="str">
        <f t="shared" si="4"/>
        <v>$$$</v>
      </c>
      <c r="BR42" s="88" t="str">
        <f t="shared" si="5"/>
        <v>$$$</v>
      </c>
      <c r="BS42" s="29" t="e">
        <f t="shared" si="99"/>
        <v>#N/A</v>
      </c>
      <c r="BT42" s="29" t="e">
        <f t="shared" si="99"/>
        <v>#N/A</v>
      </c>
      <c r="BU42" s="29" t="e">
        <f t="shared" si="99"/>
        <v>#N/A</v>
      </c>
      <c r="BV42" s="29" t="e">
        <f t="shared" si="99"/>
        <v>#N/A</v>
      </c>
      <c r="BW42" s="29" t="e">
        <f t="shared" si="99"/>
        <v>#N/A</v>
      </c>
      <c r="BX42" s="29" t="e">
        <f t="shared" si="99"/>
        <v>#N/A</v>
      </c>
      <c r="BY42" s="29" t="e">
        <f t="shared" si="99"/>
        <v>#N/A</v>
      </c>
      <c r="BZ42" s="29" t="e">
        <f t="shared" si="99"/>
        <v>#N/A</v>
      </c>
      <c r="CA42" s="29" t="e">
        <f t="shared" si="99"/>
        <v>#N/A</v>
      </c>
      <c r="CB42" s="29" t="e">
        <f t="shared" si="99"/>
        <v>#N/A</v>
      </c>
      <c r="CC42" s="29" t="e">
        <f t="shared" si="99"/>
        <v>#N/A</v>
      </c>
      <c r="CD42" s="29" t="e">
        <f t="shared" si="99"/>
        <v>#N/A</v>
      </c>
      <c r="CE42" s="6" t="str">
        <f t="shared" si="7"/>
        <v/>
      </c>
      <c r="CF42" s="27" t="e">
        <f>IF(AND(CI42,NOT(AD42)),LOOKUP(CF$5,{0,750,1500},H42:J42),"")</f>
        <v>#N/A</v>
      </c>
      <c r="CG42" s="6" t="str">
        <f t="shared" si="8"/>
        <v/>
      </c>
      <c r="CH42" t="e">
        <f t="shared" si="100"/>
        <v>#N/A</v>
      </c>
      <c r="CI42" t="e">
        <f t="shared" si="101"/>
        <v>#N/A</v>
      </c>
      <c r="CJ42" s="6" t="e">
        <f t="shared" si="11"/>
        <v>#N/A</v>
      </c>
      <c r="CK42" s="6">
        <f t="shared" si="12"/>
        <v>1</v>
      </c>
      <c r="CL42" s="6">
        <f t="shared" si="26"/>
        <v>1</v>
      </c>
      <c r="CM42" s="6">
        <f t="shared" si="13"/>
        <v>1</v>
      </c>
      <c r="CN42" s="6">
        <f t="shared" si="14"/>
        <v>1</v>
      </c>
      <c r="CO42" s="6">
        <f t="shared" si="15"/>
        <v>0</v>
      </c>
      <c r="CP42" s="6">
        <f t="shared" si="16"/>
        <v>1</v>
      </c>
      <c r="CQ42" s="6">
        <f t="shared" si="102"/>
        <v>1</v>
      </c>
      <c r="CR42" s="81" t="str">
        <f t="shared" si="17"/>
        <v/>
      </c>
      <c r="CS42">
        <f t="shared" si="103"/>
        <v>0</v>
      </c>
      <c r="CT42">
        <f t="shared" si="19"/>
        <v>20</v>
      </c>
      <c r="CU42" t="str">
        <f t="shared" si="29"/>
        <v>rm</v>
      </c>
      <c r="CV42" s="81">
        <f t="shared" si="104"/>
        <v>720</v>
      </c>
      <c r="CW42" s="81">
        <f>(CV42/25)^1.5*(Calculator!$BU$4/10000)*CW$5</f>
        <v>399.08260508152779</v>
      </c>
      <c r="CX42" t="str">
        <f t="shared" si="105"/>
        <v>$20/rm</v>
      </c>
    </row>
    <row r="43" spans="2:102" x14ac:dyDescent="0.25">
      <c r="B43" s="115" t="s">
        <v>233</v>
      </c>
      <c r="C43" s="13">
        <v>46237.767361111109</v>
      </c>
      <c r="D43">
        <v>36186</v>
      </c>
      <c r="E43" s="54" t="s">
        <v>237</v>
      </c>
      <c r="F43" s="54" t="s">
        <v>365</v>
      </c>
      <c r="G43" s="54" t="s">
        <v>372</v>
      </c>
      <c r="H43" s="55">
        <v>15.2</v>
      </c>
      <c r="I43" s="55">
        <v>14.799999999999999</v>
      </c>
      <c r="J43" s="55">
        <v>14.6</v>
      </c>
      <c r="K43" s="54"/>
      <c r="L43" s="56" t="b">
        <v>0</v>
      </c>
      <c r="M43" s="56" t="b">
        <v>0</v>
      </c>
      <c r="N43" s="54">
        <v>1</v>
      </c>
      <c r="O43" s="54" t="s">
        <v>228</v>
      </c>
      <c r="P43" s="54">
        <v>23</v>
      </c>
      <c r="Q43" s="54">
        <v>36</v>
      </c>
      <c r="R43" s="54" t="s">
        <v>366</v>
      </c>
      <c r="S43" s="54" t="s">
        <v>367</v>
      </c>
      <c r="T43" s="54" t="s">
        <v>368</v>
      </c>
      <c r="U43" s="54" t="s">
        <v>369</v>
      </c>
      <c r="V43" s="54" t="s">
        <v>370</v>
      </c>
      <c r="W43" s="54" t="b">
        <v>0</v>
      </c>
      <c r="X43" s="54"/>
      <c r="Y43" s="57" t="s">
        <v>374</v>
      </c>
      <c r="Z43" s="54" t="s">
        <v>367</v>
      </c>
      <c r="AA43" s="54"/>
      <c r="AB43" s="54" t="s">
        <v>371</v>
      </c>
      <c r="AC43" s="56" t="b">
        <v>1</v>
      </c>
      <c r="AD43" s="56" t="b">
        <v>0</v>
      </c>
      <c r="AE43" s="54" t="s">
        <v>303</v>
      </c>
      <c r="AF43" s="58">
        <v>46237</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8.3900000000000002E-2</v>
      </c>
      <c r="BC43" s="60">
        <v>4.0599999999999996</v>
      </c>
      <c r="BD43" s="61">
        <v>6.0295000000000001E-2</v>
      </c>
      <c r="BE43" s="62" t="s">
        <v>293</v>
      </c>
      <c r="BF43" s="35">
        <f t="shared" ref="BF43:BG53" si="106">IF($E43=$E$4,BF$4,IF($E43=$E$5,BF$5,""))</f>
        <v>4.0600000000000005</v>
      </c>
      <c r="BG43" s="35">
        <f t="shared" si="106"/>
        <v>6.0295000000000001E-2</v>
      </c>
      <c r="BH43" s="35" t="str">
        <f t="shared" ref="BH43:BH53" si="107">IF(ISTEXT(BE43),IF(AND(AV43=0,SUM(AN43:AQ43)=0),IF(AM43&lt;=0,IF(BE43="Y","Low","Flat"),"Med"),"High"),"?")</f>
        <v>Low</v>
      </c>
      <c r="BI43" s="110">
        <f t="shared" ref="BI43:BI53" si="108">IF(ISNUMBER(AH43),0*BI$5*SIN((EDATE($A$3,$Q43)-DATE(YEAR(EDATE($A$3,$Q43)),1,0)-BI$4)*2*PI()/365),"")</f>
        <v>0</v>
      </c>
      <c r="BJ43" s="83" t="str">
        <f>VLOOKUP($F43,REP_Info!$D$6:$H$250,5,FALSE)</f>
        <v/>
      </c>
      <c r="BK43" s="30">
        <f t="shared" ref="BK43:BN53" si="109">IF(BK$7&gt;0,(LOOKUP(BK$7,$AH43:$AL43,$AM43:$AQ43)+IF($AG43="Y",SUMPRODUCT($AX43:$BB43-$AW43:$BA43,BK$7-$AR43:$AV43,N(BK$7&gt;$AR43:$AV43)),BK$7*LOOKUP(BK$7,$AR43:$AV43,$AX43:$BB43))+IF($BE43="Y",$BF43,$BC43)+BK$7*IF($BE43="Y",$BG43,$BD43))*100/BK$7,"")</f>
        <v>15.2315</v>
      </c>
      <c r="BL43" s="30">
        <f t="shared" si="109"/>
        <v>14.8255</v>
      </c>
      <c r="BM43" s="30">
        <f t="shared" si="109"/>
        <v>14.622500000000002</v>
      </c>
      <c r="BN43" s="29">
        <f t="shared" si="109"/>
        <v>14.554833333333333</v>
      </c>
      <c r="BO43" s="85" t="str">
        <f t="shared" ref="BO43:BO53" si="110">IFERROR(SUMPRODUCT($BS$7:$CD$7,$BS43:$CD43)/100,"$$$")</f>
        <v>$$$</v>
      </c>
      <c r="BP43" s="88" t="str">
        <f t="shared" ref="BP43:BP53" si="111">IFERROR(BO43*100/BO$5,"$$$")</f>
        <v>$$$</v>
      </c>
      <c r="BQ43" s="88" t="str">
        <f t="shared" ref="BQ43:BQ53" si="112">IFERROR(SUMPRODUCT($BS$7:$CD$7,$BS43:$CD43,--($BS$4:$CD$4&lt;=$Q43))/SUMPRODUCT(--($BS$4:$CD$4&lt;=$Q43),$BS$7:$CD$7),"$$$")</f>
        <v>$$$</v>
      </c>
      <c r="BR43" s="88" t="str">
        <f t="shared" ref="BR43:BR53" si="113">IFERROR($BQ43-$BF43*100*SUMPRODUCT(--($BS$4:$CD$4&lt;=$Q43))/SUMPRODUCT(--($BS$4:$CD$4&lt;=$Q43),$BS$7:$CD$7)-$BG43*100,"$$$")</f>
        <v>$$$</v>
      </c>
      <c r="BS43" s="29" t="e">
        <f t="shared" ref="BS43:CD51" si="114">IF($CI43,IF(BS$7&gt;0,IF(BS$4&gt;$Q43,$BF43+BS$7*(BS$5+$BG43+$BI43),LOOKUP(BS$7,$AH43:$AL43,$AM43:$AQ43)+IF($AG43="Y",SUMPRODUCT($AX43:$BB43-$AW43:$BA43,BS$7-$AR43:$AV43,N(BS$7&gt;$AR43:$AV43)),BS$7*LOOKUP(BS$7,$AR43:$AV43,$AX43:$BB43))+IF($BE43="Y",$BF43,$BC43)+BS$7*IF($BE43="Y",$BG43,$BD43))*100/BS$7,""),NA())</f>
        <v>#N/A</v>
      </c>
      <c r="BT43" s="29" t="e">
        <f t="shared" si="114"/>
        <v>#N/A</v>
      </c>
      <c r="BU43" s="29" t="e">
        <f t="shared" si="114"/>
        <v>#N/A</v>
      </c>
      <c r="BV43" s="29" t="e">
        <f t="shared" si="114"/>
        <v>#N/A</v>
      </c>
      <c r="BW43" s="29" t="e">
        <f t="shared" si="114"/>
        <v>#N/A</v>
      </c>
      <c r="BX43" s="29" t="e">
        <f t="shared" si="114"/>
        <v>#N/A</v>
      </c>
      <c r="BY43" s="29" t="e">
        <f t="shared" si="114"/>
        <v>#N/A</v>
      </c>
      <c r="BZ43" s="29" t="e">
        <f t="shared" si="114"/>
        <v>#N/A</v>
      </c>
      <c r="CA43" s="29" t="e">
        <f t="shared" si="114"/>
        <v>#N/A</v>
      </c>
      <c r="CB43" s="29" t="e">
        <f t="shared" si="114"/>
        <v>#N/A</v>
      </c>
      <c r="CC43" s="29" t="e">
        <f t="shared" si="114"/>
        <v>#N/A</v>
      </c>
      <c r="CD43" s="29" t="e">
        <f t="shared" si="114"/>
        <v>#N/A</v>
      </c>
      <c r="CE43" s="6" t="str">
        <f t="shared" si="7"/>
        <v/>
      </c>
      <c r="CF43" s="27" t="e">
        <f>IF(AND(CI43,NOT(AD43)),LOOKUP(CF$5,{0,750,1500},H43:J43),"")</f>
        <v>#N/A</v>
      </c>
      <c r="CG43" s="6" t="str">
        <f t="shared" si="8"/>
        <v/>
      </c>
      <c r="CH43" t="e">
        <f t="shared" ref="CH43:CH53" si="115">IF(CI43,IF(ISNUMBER(BO43),BO43,100000)+CV43/10000+IF(ISNUMBER(BJ43),BJ43,2)/10000-P43/100000+ROW()/10000000,"")</f>
        <v>#N/A</v>
      </c>
      <c r="CI43" t="e">
        <f t="shared" ref="CI43:CI53" si="116">PRODUCT(CJ43:CQ43)</f>
        <v>#N/A</v>
      </c>
      <c r="CJ43" s="6" t="e">
        <f t="shared" ref="CJ43:CJ53" si="117">IF($E43=CJ$5,1,0)</f>
        <v>#N/A</v>
      </c>
      <c r="CK43" s="6">
        <f t="shared" ref="CK43:CK53" si="118">IF(CK$5="[Any]",1,IF($F43=CK$5,1,0))</f>
        <v>1</v>
      </c>
      <c r="CL43" s="6">
        <f t="shared" ref="CL43:CL53" si="119">IFERROR(--OR(ISBLANK(CL$5),$BJ43="",AND(ISNUMBER($BJ43),$BJ43&lt;=CL$5)),1)</f>
        <v>1</v>
      </c>
      <c r="CM43" s="6">
        <f t="shared" ref="CM43:CM53" si="120">IF($O43="Fixed",1,0)</f>
        <v>1</v>
      </c>
      <c r="CN43" s="6">
        <f t="shared" ref="CN43:CN53" si="121">IF($Q43&gt;=CN$5,1,0)</f>
        <v>1</v>
      </c>
      <c r="CO43" s="6">
        <f t="shared" ref="CO43:CO53" si="122">IF($Q43&lt;=CO$5,1,0)</f>
        <v>0</v>
      </c>
      <c r="CP43" s="6">
        <f t="shared" ref="CP43:CP53" si="123">IF($P43&gt;=CP$5,1,0)</f>
        <v>1</v>
      </c>
      <c r="CQ43" s="6">
        <f t="shared" ref="CQ43:CQ53" si="124">IF(CQ$5="Any",1,IF(AND(CQ$5="Med",AV43=0,SUM(AN43:AQ43)=0),1,IF(AND(CQ$5="Low",AV43=0,SUM(AN43:AQ43)=0,AM43=0),1,IF(AND(CQ$5="Flat",AV43=0,SUM(AN43:AQ43)=0,AM43=0,IFERROR(NOT(BE43="Y"),0)),1,0))))</f>
        <v>1</v>
      </c>
      <c r="CR43" s="81" t="str">
        <f t="shared" ref="CR43:CR53" si="125">IF(ISNUMBER($CH43),$CH43+$CS43+$CW43,"")</f>
        <v/>
      </c>
      <c r="CS43">
        <f t="shared" ref="CS43:CS53" si="126">CS$5*(12/(MIN(12,Q43))-1)</f>
        <v>0</v>
      </c>
      <c r="CT43">
        <f t="shared" si="19"/>
        <v>20</v>
      </c>
      <c r="CU43" t="str">
        <f t="shared" ref="CU43:CU53" si="127">IF(AND(ISERR(FIND("remain",$R43)),ISERR(FIND("left",$R43))),"","r")&amp;IF(ISERR(FIND("mon",$R43)),"","m")</f>
        <v>rm</v>
      </c>
      <c r="CV43" s="81">
        <f t="shared" ref="CV43:CV53" si="128">CT43*IF(CU43="",1,Q43)</f>
        <v>720</v>
      </c>
      <c r="CW43" s="81">
        <f>(CV43/25)^1.5*(Calculator!$BU$4/10000)*CW$5</f>
        <v>399.08260508152779</v>
      </c>
      <c r="CX43" t="str">
        <f t="shared" ref="CX43:CX53" si="129">"$"&amp;IF(LEFT(CU43,1)="r",CT43&amp;"/"&amp;CU43,CV43)</f>
        <v>$20/rm</v>
      </c>
    </row>
    <row r="44" spans="2:102" x14ac:dyDescent="0.25">
      <c r="B44" s="115" t="s">
        <v>233</v>
      </c>
      <c r="C44" s="13">
        <v>46212.852083333331</v>
      </c>
      <c r="D44">
        <v>36227</v>
      </c>
      <c r="E44" s="54" t="s">
        <v>235</v>
      </c>
      <c r="F44" s="54" t="s">
        <v>375</v>
      </c>
      <c r="G44" s="54" t="s">
        <v>376</v>
      </c>
      <c r="H44" s="55">
        <v>13.8</v>
      </c>
      <c r="I44" s="55">
        <v>13.3</v>
      </c>
      <c r="J44" s="55">
        <v>13.100000000000001</v>
      </c>
      <c r="K44" s="54"/>
      <c r="L44" s="56" t="b">
        <v>0</v>
      </c>
      <c r="M44" s="56" t="b">
        <v>0</v>
      </c>
      <c r="N44" s="54">
        <v>1</v>
      </c>
      <c r="O44" s="54" t="s">
        <v>228</v>
      </c>
      <c r="P44" s="54">
        <v>100</v>
      </c>
      <c r="Q44" s="54">
        <v>36</v>
      </c>
      <c r="R44" s="54" t="s">
        <v>377</v>
      </c>
      <c r="S44" s="54" t="s">
        <v>378</v>
      </c>
      <c r="T44" s="54" t="s">
        <v>379</v>
      </c>
      <c r="U44" s="54" t="s">
        <v>380</v>
      </c>
      <c r="V44" s="54" t="s">
        <v>381</v>
      </c>
      <c r="W44" s="54" t="b">
        <v>0</v>
      </c>
      <c r="X44" s="54"/>
      <c r="Y44" s="57" t="s">
        <v>382</v>
      </c>
      <c r="Z44" s="54" t="s">
        <v>378</v>
      </c>
      <c r="AA44" s="54"/>
      <c r="AB44" s="54"/>
      <c r="AC44" s="56" t="b">
        <v>1</v>
      </c>
      <c r="AD44" s="56" t="b">
        <v>0</v>
      </c>
      <c r="AE44" s="54" t="s">
        <v>303</v>
      </c>
      <c r="AF44" s="58">
        <v>46212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7.6999999999999999E-2</v>
      </c>
      <c r="BC44" s="60">
        <v>4.9000000000000004</v>
      </c>
      <c r="BD44" s="61">
        <v>5.1461E-2</v>
      </c>
      <c r="BE44" s="62" t="s">
        <v>293</v>
      </c>
      <c r="BF44" s="35">
        <f t="shared" si="106"/>
        <v>4.9000000000000004</v>
      </c>
      <c r="BG44" s="35">
        <f t="shared" si="106"/>
        <v>5.1461E-2</v>
      </c>
      <c r="BH44" s="35" t="str">
        <f t="shared" si="107"/>
        <v>Low</v>
      </c>
      <c r="BI44" s="110">
        <f t="shared" si="108"/>
        <v>0</v>
      </c>
      <c r="BJ44" s="83" t="str">
        <f>VLOOKUP($F44,REP_Info!$D$6:$H$250,5,FALSE)</f>
        <v/>
      </c>
      <c r="BK44" s="30">
        <f t="shared" si="109"/>
        <v>13.8261</v>
      </c>
      <c r="BL44" s="30">
        <f t="shared" si="109"/>
        <v>13.336099999999998</v>
      </c>
      <c r="BM44" s="30">
        <f t="shared" si="109"/>
        <v>13.091100000000001</v>
      </c>
      <c r="BN44" s="29">
        <f t="shared" si="109"/>
        <v>13.009433333333334</v>
      </c>
      <c r="BO44" s="85" t="str">
        <f t="shared" si="110"/>
        <v>$$$</v>
      </c>
      <c r="BP44" s="88" t="str">
        <f t="shared" si="111"/>
        <v>$$$</v>
      </c>
      <c r="BQ44" s="88" t="str">
        <f t="shared" si="112"/>
        <v>$$$</v>
      </c>
      <c r="BR44" s="88" t="str">
        <f t="shared" si="113"/>
        <v>$$$</v>
      </c>
      <c r="BS44" s="29" t="e">
        <f t="shared" si="114"/>
        <v>#N/A</v>
      </c>
      <c r="BT44" s="29" t="e">
        <f t="shared" si="114"/>
        <v>#N/A</v>
      </c>
      <c r="BU44" s="29" t="e">
        <f t="shared" si="114"/>
        <v>#N/A</v>
      </c>
      <c r="BV44" s="29" t="e">
        <f t="shared" si="114"/>
        <v>#N/A</v>
      </c>
      <c r="BW44" s="29" t="e">
        <f t="shared" si="114"/>
        <v>#N/A</v>
      </c>
      <c r="BX44" s="29" t="e">
        <f t="shared" si="114"/>
        <v>#N/A</v>
      </c>
      <c r="BY44" s="29" t="e">
        <f t="shared" si="114"/>
        <v>#N/A</v>
      </c>
      <c r="BZ44" s="29" t="e">
        <f t="shared" si="114"/>
        <v>#N/A</v>
      </c>
      <c r="CA44" s="29" t="e">
        <f t="shared" si="114"/>
        <v>#N/A</v>
      </c>
      <c r="CB44" s="29" t="e">
        <f t="shared" si="114"/>
        <v>#N/A</v>
      </c>
      <c r="CC44" s="29" t="e">
        <f t="shared" si="114"/>
        <v>#N/A</v>
      </c>
      <c r="CD44" s="29" t="e">
        <f t="shared" si="114"/>
        <v>#N/A</v>
      </c>
      <c r="CE44" s="6" t="str">
        <f t="shared" si="7"/>
        <v/>
      </c>
      <c r="CF44" s="27" t="e">
        <f>IF(AND(CI44,NOT(AD44)),LOOKUP(CF$5,{0,750,1500},H44:J44),"")</f>
        <v>#N/A</v>
      </c>
      <c r="CG44" s="6" t="str">
        <f t="shared" si="8"/>
        <v/>
      </c>
      <c r="CH44" t="e">
        <f t="shared" si="115"/>
        <v>#N/A</v>
      </c>
      <c r="CI44" t="e">
        <f t="shared" si="116"/>
        <v>#N/A</v>
      </c>
      <c r="CJ44" s="6" t="e">
        <f t="shared" si="117"/>
        <v>#N/A</v>
      </c>
      <c r="CK44" s="6">
        <f t="shared" si="118"/>
        <v>1</v>
      </c>
      <c r="CL44" s="6">
        <f t="shared" si="119"/>
        <v>1</v>
      </c>
      <c r="CM44" s="6">
        <f t="shared" si="120"/>
        <v>1</v>
      </c>
      <c r="CN44" s="6">
        <f t="shared" si="121"/>
        <v>1</v>
      </c>
      <c r="CO44" s="6">
        <f t="shared" si="122"/>
        <v>0</v>
      </c>
      <c r="CP44" s="6">
        <f t="shared" si="123"/>
        <v>1</v>
      </c>
      <c r="CQ44" s="6">
        <f t="shared" si="124"/>
        <v>1</v>
      </c>
      <c r="CR44" s="81" t="str">
        <f t="shared" si="125"/>
        <v/>
      </c>
      <c r="CS44">
        <f t="shared" si="126"/>
        <v>0</v>
      </c>
      <c r="CT44">
        <f t="shared" si="19"/>
        <v>20</v>
      </c>
      <c r="CU44" t="str">
        <f t="shared" si="127"/>
        <v>rm</v>
      </c>
      <c r="CV44" s="81">
        <f t="shared" si="128"/>
        <v>720</v>
      </c>
      <c r="CW44" s="81">
        <f>(CV44/25)^1.5*(Calculator!$BU$4/10000)*CW$5</f>
        <v>399.08260508152779</v>
      </c>
      <c r="CX44" t="str">
        <f t="shared" si="129"/>
        <v>$20/rm</v>
      </c>
    </row>
    <row r="45" spans="2:102" x14ac:dyDescent="0.25">
      <c r="B45" s="115" t="s">
        <v>233</v>
      </c>
      <c r="C45" s="13">
        <v>46212.852083333331</v>
      </c>
      <c r="D45">
        <v>36252</v>
      </c>
      <c r="E45" s="54" t="s">
        <v>237</v>
      </c>
      <c r="F45" s="54" t="s">
        <v>375</v>
      </c>
      <c r="G45" s="54" t="s">
        <v>376</v>
      </c>
      <c r="H45" s="55">
        <v>14.6</v>
      </c>
      <c r="I45" s="55">
        <v>14.2</v>
      </c>
      <c r="J45" s="55">
        <v>14.000000000000002</v>
      </c>
      <c r="K45" s="54"/>
      <c r="L45" s="56" t="b">
        <v>0</v>
      </c>
      <c r="M45" s="56" t="b">
        <v>0</v>
      </c>
      <c r="N45" s="54">
        <v>1</v>
      </c>
      <c r="O45" s="54" t="s">
        <v>228</v>
      </c>
      <c r="P45" s="54">
        <v>100</v>
      </c>
      <c r="Q45" s="54">
        <v>36</v>
      </c>
      <c r="R45" s="54" t="s">
        <v>377</v>
      </c>
      <c r="S45" s="54" t="s">
        <v>383</v>
      </c>
      <c r="T45" s="54" t="s">
        <v>384</v>
      </c>
      <c r="U45" s="54" t="s">
        <v>380</v>
      </c>
      <c r="V45" s="54" t="s">
        <v>381</v>
      </c>
      <c r="W45" s="54" t="b">
        <v>0</v>
      </c>
      <c r="X45" s="54"/>
      <c r="Y45" s="57" t="s">
        <v>385</v>
      </c>
      <c r="Z45" s="54" t="s">
        <v>383</v>
      </c>
      <c r="AA45" s="54"/>
      <c r="AB45" s="54"/>
      <c r="AC45" s="56" t="b">
        <v>1</v>
      </c>
      <c r="AD45" s="56" t="b">
        <v>0</v>
      </c>
      <c r="AE45" s="54" t="s">
        <v>303</v>
      </c>
      <c r="AF45" s="58">
        <v>46212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7.6999999999999999E-2</v>
      </c>
      <c r="BC45" s="60">
        <v>4.0599999999999996</v>
      </c>
      <c r="BD45" s="61">
        <v>6.1196E-2</v>
      </c>
      <c r="BE45" s="62" t="s">
        <v>293</v>
      </c>
      <c r="BF45" s="35">
        <f t="shared" si="106"/>
        <v>4.0600000000000005</v>
      </c>
      <c r="BG45" s="35">
        <f t="shared" si="106"/>
        <v>6.0295000000000001E-2</v>
      </c>
      <c r="BH45" s="35" t="str">
        <f t="shared" si="107"/>
        <v>Low</v>
      </c>
      <c r="BI45" s="110">
        <f t="shared" si="108"/>
        <v>0</v>
      </c>
      <c r="BJ45" s="83" t="str">
        <f>VLOOKUP($F45,REP_Info!$D$6:$H$250,5,FALSE)</f>
        <v/>
      </c>
      <c r="BK45" s="30">
        <f t="shared" si="109"/>
        <v>14.541500000000001</v>
      </c>
      <c r="BL45" s="30">
        <f t="shared" si="109"/>
        <v>14.135500000000002</v>
      </c>
      <c r="BM45" s="30">
        <f t="shared" si="109"/>
        <v>13.932499999999997</v>
      </c>
      <c r="BN45" s="29">
        <f t="shared" si="109"/>
        <v>13.864833333333333</v>
      </c>
      <c r="BO45" s="85" t="str">
        <f t="shared" si="110"/>
        <v>$$$</v>
      </c>
      <c r="BP45" s="88" t="str">
        <f t="shared" si="111"/>
        <v>$$$</v>
      </c>
      <c r="BQ45" s="88" t="str">
        <f t="shared" si="112"/>
        <v>$$$</v>
      </c>
      <c r="BR45" s="88" t="str">
        <f t="shared" si="113"/>
        <v>$$$</v>
      </c>
      <c r="BS45" s="29" t="e">
        <f t="shared" si="114"/>
        <v>#N/A</v>
      </c>
      <c r="BT45" s="29" t="e">
        <f t="shared" si="114"/>
        <v>#N/A</v>
      </c>
      <c r="BU45" s="29" t="e">
        <f t="shared" si="114"/>
        <v>#N/A</v>
      </c>
      <c r="BV45" s="29" t="e">
        <f t="shared" si="114"/>
        <v>#N/A</v>
      </c>
      <c r="BW45" s="29" t="e">
        <f t="shared" si="114"/>
        <v>#N/A</v>
      </c>
      <c r="BX45" s="29" t="e">
        <f t="shared" si="114"/>
        <v>#N/A</v>
      </c>
      <c r="BY45" s="29" t="e">
        <f t="shared" si="114"/>
        <v>#N/A</v>
      </c>
      <c r="BZ45" s="29" t="e">
        <f t="shared" si="114"/>
        <v>#N/A</v>
      </c>
      <c r="CA45" s="29" t="e">
        <f t="shared" si="114"/>
        <v>#N/A</v>
      </c>
      <c r="CB45" s="29" t="e">
        <f t="shared" si="114"/>
        <v>#N/A</v>
      </c>
      <c r="CC45" s="29" t="e">
        <f t="shared" si="114"/>
        <v>#N/A</v>
      </c>
      <c r="CD45" s="29" t="e">
        <f t="shared" si="114"/>
        <v>#N/A</v>
      </c>
      <c r="CE45" s="6" t="str">
        <f t="shared" si="7"/>
        <v/>
      </c>
      <c r="CF45" s="27" t="e">
        <f>IF(AND(CI45,NOT(AD45)),LOOKUP(CF$5,{0,750,1500},H45:J45),"")</f>
        <v>#N/A</v>
      </c>
      <c r="CG45" s="6" t="str">
        <f t="shared" si="8"/>
        <v/>
      </c>
      <c r="CH45" t="e">
        <f t="shared" si="115"/>
        <v>#N/A</v>
      </c>
      <c r="CI45" t="e">
        <f t="shared" si="116"/>
        <v>#N/A</v>
      </c>
      <c r="CJ45" s="6" t="e">
        <f t="shared" si="117"/>
        <v>#N/A</v>
      </c>
      <c r="CK45" s="6">
        <f t="shared" si="118"/>
        <v>1</v>
      </c>
      <c r="CL45" s="6">
        <f t="shared" si="119"/>
        <v>1</v>
      </c>
      <c r="CM45" s="6">
        <f t="shared" si="120"/>
        <v>1</v>
      </c>
      <c r="CN45" s="6">
        <f t="shared" si="121"/>
        <v>1</v>
      </c>
      <c r="CO45" s="6">
        <f t="shared" si="122"/>
        <v>0</v>
      </c>
      <c r="CP45" s="6">
        <f t="shared" si="123"/>
        <v>1</v>
      </c>
      <c r="CQ45" s="6">
        <f t="shared" si="124"/>
        <v>1</v>
      </c>
      <c r="CR45" s="81" t="str">
        <f t="shared" si="125"/>
        <v/>
      </c>
      <c r="CS45">
        <f t="shared" si="126"/>
        <v>0</v>
      </c>
      <c r="CT45">
        <f t="shared" si="19"/>
        <v>20</v>
      </c>
      <c r="CU45" t="str">
        <f t="shared" si="127"/>
        <v>rm</v>
      </c>
      <c r="CV45" s="81">
        <f t="shared" si="128"/>
        <v>720</v>
      </c>
      <c r="CW45" s="81">
        <f>(CV45/25)^1.5*(Calculator!$BU$4/10000)*CW$5</f>
        <v>399.08260508152779</v>
      </c>
      <c r="CX45" t="str">
        <f t="shared" si="129"/>
        <v>$20/rm</v>
      </c>
    </row>
    <row r="46" spans="2:102" x14ac:dyDescent="0.25">
      <c r="B46" s="115" t="s">
        <v>233</v>
      </c>
      <c r="C46" s="13">
        <v>46237.767361111109</v>
      </c>
      <c r="D46">
        <v>29410</v>
      </c>
      <c r="E46" s="54" t="s">
        <v>235</v>
      </c>
      <c r="F46" s="54" t="s">
        <v>386</v>
      </c>
      <c r="G46" s="54" t="s">
        <v>387</v>
      </c>
      <c r="H46" s="55">
        <v>12.9</v>
      </c>
      <c r="I46" s="55">
        <v>12.4</v>
      </c>
      <c r="J46" s="55">
        <v>12.2</v>
      </c>
      <c r="K46" s="54"/>
      <c r="L46" s="56" t="b">
        <v>0</v>
      </c>
      <c r="M46" s="56" t="b">
        <v>0</v>
      </c>
      <c r="N46" s="54">
        <v>1</v>
      </c>
      <c r="O46" s="54" t="s">
        <v>228</v>
      </c>
      <c r="P46" s="54">
        <v>29</v>
      </c>
      <c r="Q46" s="54">
        <v>12</v>
      </c>
      <c r="R46" s="54" t="s">
        <v>388</v>
      </c>
      <c r="S46" s="54" t="s">
        <v>389</v>
      </c>
      <c r="T46" s="54" t="s">
        <v>390</v>
      </c>
      <c r="U46" s="54" t="s">
        <v>391</v>
      </c>
      <c r="V46" s="54" t="s">
        <v>392</v>
      </c>
      <c r="W46" s="54" t="b">
        <v>0</v>
      </c>
      <c r="X46" s="54"/>
      <c r="Y46" s="57" t="s">
        <v>393</v>
      </c>
      <c r="Z46" s="54" t="s">
        <v>394</v>
      </c>
      <c r="AA46" s="54"/>
      <c r="AB46" s="54" t="s">
        <v>395</v>
      </c>
      <c r="AC46" s="56" t="b">
        <v>1</v>
      </c>
      <c r="AD46" s="56" t="b">
        <v>0</v>
      </c>
      <c r="AE46" s="54" t="s">
        <v>303</v>
      </c>
      <c r="AF46" s="58">
        <v>46237</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6.7659999999999998E-2</v>
      </c>
      <c r="BC46" s="60">
        <v>4.9000000000000004</v>
      </c>
      <c r="BD46" s="61">
        <v>5.1461E-2</v>
      </c>
      <c r="BE46" s="62" t="s">
        <v>293</v>
      </c>
      <c r="BF46" s="35">
        <f t="shared" si="106"/>
        <v>4.9000000000000004</v>
      </c>
      <c r="BG46" s="35">
        <f t="shared" si="106"/>
        <v>5.1461E-2</v>
      </c>
      <c r="BH46" s="35" t="str">
        <f t="shared" si="107"/>
        <v>Low</v>
      </c>
      <c r="BI46" s="110">
        <f t="shared" si="108"/>
        <v>0</v>
      </c>
      <c r="BJ46" s="83">
        <f>VLOOKUP($F46,REP_Info!$D$6:$H$250,5,FALSE)</f>
        <v>1.244</v>
      </c>
      <c r="BK46" s="30">
        <f t="shared" si="109"/>
        <v>12.892099999999999</v>
      </c>
      <c r="BL46" s="30">
        <f t="shared" si="109"/>
        <v>12.402100000000001</v>
      </c>
      <c r="BM46" s="30">
        <f t="shared" si="109"/>
        <v>12.1571</v>
      </c>
      <c r="BN46" s="29">
        <f t="shared" si="109"/>
        <v>12.075433333333335</v>
      </c>
      <c r="BO46" s="85" t="str">
        <f t="shared" si="110"/>
        <v>$$$</v>
      </c>
      <c r="BP46" s="88" t="str">
        <f t="shared" si="111"/>
        <v>$$$</v>
      </c>
      <c r="BQ46" s="88" t="str">
        <f t="shared" si="112"/>
        <v>$$$</v>
      </c>
      <c r="BR46" s="88" t="str">
        <f t="shared" si="113"/>
        <v>$$$</v>
      </c>
      <c r="BS46" s="29" t="e">
        <f t="shared" si="114"/>
        <v>#N/A</v>
      </c>
      <c r="BT46" s="29" t="e">
        <f t="shared" si="114"/>
        <v>#N/A</v>
      </c>
      <c r="BU46" s="29" t="e">
        <f t="shared" si="114"/>
        <v>#N/A</v>
      </c>
      <c r="BV46" s="29" t="e">
        <f t="shared" si="114"/>
        <v>#N/A</v>
      </c>
      <c r="BW46" s="29" t="e">
        <f t="shared" si="114"/>
        <v>#N/A</v>
      </c>
      <c r="BX46" s="29" t="e">
        <f t="shared" si="114"/>
        <v>#N/A</v>
      </c>
      <c r="BY46" s="29" t="e">
        <f t="shared" si="114"/>
        <v>#N/A</v>
      </c>
      <c r="BZ46" s="29" t="e">
        <f t="shared" si="114"/>
        <v>#N/A</v>
      </c>
      <c r="CA46" s="29" t="e">
        <f t="shared" si="114"/>
        <v>#N/A</v>
      </c>
      <c r="CB46" s="29" t="e">
        <f t="shared" si="114"/>
        <v>#N/A</v>
      </c>
      <c r="CC46" s="29" t="e">
        <f t="shared" si="114"/>
        <v>#N/A</v>
      </c>
      <c r="CD46" s="29" t="e">
        <f t="shared" si="114"/>
        <v>#N/A</v>
      </c>
      <c r="CE46" s="6" t="str">
        <f t="shared" si="7"/>
        <v/>
      </c>
      <c r="CF46" s="27" t="e">
        <f>IF(AND(CI46,NOT(AD46)),LOOKUP(CF$5,{0,750,1500},H46:J46),"")</f>
        <v>#N/A</v>
      </c>
      <c r="CG46" s="6" t="str">
        <f t="shared" si="8"/>
        <v/>
      </c>
      <c r="CH46" t="e">
        <f t="shared" si="115"/>
        <v>#N/A</v>
      </c>
      <c r="CI46" t="e">
        <f t="shared" si="116"/>
        <v>#N/A</v>
      </c>
      <c r="CJ46" s="6" t="e">
        <f t="shared" si="117"/>
        <v>#N/A</v>
      </c>
      <c r="CK46" s="6">
        <f t="shared" si="118"/>
        <v>1</v>
      </c>
      <c r="CL46" s="6">
        <f t="shared" si="119"/>
        <v>1</v>
      </c>
      <c r="CM46" s="6">
        <f t="shared" si="120"/>
        <v>1</v>
      </c>
      <c r="CN46" s="6">
        <f t="shared" si="121"/>
        <v>1</v>
      </c>
      <c r="CO46" s="6">
        <f t="shared" si="122"/>
        <v>1</v>
      </c>
      <c r="CP46" s="6">
        <f t="shared" si="123"/>
        <v>1</v>
      </c>
      <c r="CQ46" s="6">
        <f t="shared" si="124"/>
        <v>1</v>
      </c>
      <c r="CR46" s="81" t="str">
        <f t="shared" si="125"/>
        <v/>
      </c>
      <c r="CS46">
        <f t="shared" si="126"/>
        <v>0</v>
      </c>
      <c r="CT46">
        <f t="shared" si="19"/>
        <v>20</v>
      </c>
      <c r="CU46" t="str">
        <f t="shared" si="127"/>
        <v>rm</v>
      </c>
      <c r="CV46" s="81">
        <f t="shared" si="128"/>
        <v>240</v>
      </c>
      <c r="CW46" s="81">
        <f>(CV46/25)^1.5*(Calculator!$BU$4/10000)*CW$5</f>
        <v>76.803483157572401</v>
      </c>
      <c r="CX46" t="str">
        <f t="shared" si="129"/>
        <v>$20/rm</v>
      </c>
    </row>
    <row r="47" spans="2:102" x14ac:dyDescent="0.25">
      <c r="B47" s="115" t="s">
        <v>233</v>
      </c>
      <c r="C47" s="13">
        <v>46237.767361111109</v>
      </c>
      <c r="D47">
        <v>29431</v>
      </c>
      <c r="E47" s="54" t="s">
        <v>235</v>
      </c>
      <c r="F47" s="54" t="s">
        <v>386</v>
      </c>
      <c r="G47" s="54" t="s">
        <v>396</v>
      </c>
      <c r="H47" s="55">
        <v>13.200000000000001</v>
      </c>
      <c r="I47" s="55">
        <v>12.7</v>
      </c>
      <c r="J47" s="55">
        <v>12.5</v>
      </c>
      <c r="K47" s="54"/>
      <c r="L47" s="56" t="b">
        <v>0</v>
      </c>
      <c r="M47" s="56" t="b">
        <v>0</v>
      </c>
      <c r="N47" s="54">
        <v>1</v>
      </c>
      <c r="O47" s="54" t="s">
        <v>228</v>
      </c>
      <c r="P47" s="54">
        <v>29</v>
      </c>
      <c r="Q47" s="54">
        <v>24</v>
      </c>
      <c r="R47" s="54" t="s">
        <v>388</v>
      </c>
      <c r="S47" s="54" t="s">
        <v>389</v>
      </c>
      <c r="T47" s="54" t="s">
        <v>390</v>
      </c>
      <c r="U47" s="54" t="s">
        <v>397</v>
      </c>
      <c r="V47" s="54" t="s">
        <v>398</v>
      </c>
      <c r="W47" s="54" t="b">
        <v>0</v>
      </c>
      <c r="X47" s="54"/>
      <c r="Y47" s="57" t="s">
        <v>399</v>
      </c>
      <c r="Z47" s="54" t="s">
        <v>394</v>
      </c>
      <c r="AA47" s="54"/>
      <c r="AB47" s="54" t="s">
        <v>395</v>
      </c>
      <c r="AC47" s="56" t="b">
        <v>1</v>
      </c>
      <c r="AD47" s="56" t="b">
        <v>0</v>
      </c>
      <c r="AE47" s="54" t="s">
        <v>303</v>
      </c>
      <c r="AF47" s="58">
        <v>46237</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7.0709999999999995E-2</v>
      </c>
      <c r="BC47" s="60">
        <v>4.9000000000000004</v>
      </c>
      <c r="BD47" s="61">
        <v>5.1461E-2</v>
      </c>
      <c r="BE47" s="62" t="s">
        <v>293</v>
      </c>
      <c r="BF47" s="35">
        <f t="shared" si="106"/>
        <v>4.9000000000000004</v>
      </c>
      <c r="BG47" s="35">
        <f t="shared" si="106"/>
        <v>5.1461E-2</v>
      </c>
      <c r="BH47" s="35" t="str">
        <f t="shared" si="107"/>
        <v>Low</v>
      </c>
      <c r="BI47" s="110">
        <f t="shared" si="108"/>
        <v>0</v>
      </c>
      <c r="BJ47" s="83">
        <f>VLOOKUP($F47,REP_Info!$D$6:$H$250,5,FALSE)</f>
        <v>1.244</v>
      </c>
      <c r="BK47" s="30">
        <f t="shared" si="109"/>
        <v>13.197100000000001</v>
      </c>
      <c r="BL47" s="30">
        <f t="shared" si="109"/>
        <v>12.707100000000001</v>
      </c>
      <c r="BM47" s="30">
        <f t="shared" si="109"/>
        <v>12.4621</v>
      </c>
      <c r="BN47" s="29">
        <f t="shared" si="109"/>
        <v>12.380433333333334</v>
      </c>
      <c r="BO47" s="85" t="str">
        <f t="shared" si="110"/>
        <v>$$$</v>
      </c>
      <c r="BP47" s="88" t="str">
        <f t="shared" si="111"/>
        <v>$$$</v>
      </c>
      <c r="BQ47" s="88" t="str">
        <f t="shared" si="112"/>
        <v>$$$</v>
      </c>
      <c r="BR47" s="88" t="str">
        <f t="shared" si="113"/>
        <v>$$$</v>
      </c>
      <c r="BS47" s="29" t="e">
        <f t="shared" si="114"/>
        <v>#N/A</v>
      </c>
      <c r="BT47" s="29" t="e">
        <f t="shared" si="114"/>
        <v>#N/A</v>
      </c>
      <c r="BU47" s="29" t="e">
        <f t="shared" si="114"/>
        <v>#N/A</v>
      </c>
      <c r="BV47" s="29" t="e">
        <f t="shared" si="114"/>
        <v>#N/A</v>
      </c>
      <c r="BW47" s="29" t="e">
        <f t="shared" si="114"/>
        <v>#N/A</v>
      </c>
      <c r="BX47" s="29" t="e">
        <f t="shared" si="114"/>
        <v>#N/A</v>
      </c>
      <c r="BY47" s="29" t="e">
        <f t="shared" si="114"/>
        <v>#N/A</v>
      </c>
      <c r="BZ47" s="29" t="e">
        <f t="shared" si="114"/>
        <v>#N/A</v>
      </c>
      <c r="CA47" s="29" t="e">
        <f t="shared" si="114"/>
        <v>#N/A</v>
      </c>
      <c r="CB47" s="29" t="e">
        <f t="shared" si="114"/>
        <v>#N/A</v>
      </c>
      <c r="CC47" s="29" t="e">
        <f t="shared" si="114"/>
        <v>#N/A</v>
      </c>
      <c r="CD47" s="29" t="e">
        <f t="shared" si="114"/>
        <v>#N/A</v>
      </c>
      <c r="CE47" s="6" t="str">
        <f t="shared" si="7"/>
        <v/>
      </c>
      <c r="CF47" s="27" t="e">
        <f>IF(AND(CI47,NOT(AD47)),LOOKUP(CF$5,{0,750,1500},H47:J47),"")</f>
        <v>#N/A</v>
      </c>
      <c r="CG47" s="6" t="str">
        <f t="shared" si="8"/>
        <v/>
      </c>
      <c r="CH47" t="e">
        <f t="shared" si="115"/>
        <v>#N/A</v>
      </c>
      <c r="CI47" t="e">
        <f t="shared" si="116"/>
        <v>#N/A</v>
      </c>
      <c r="CJ47" s="6" t="e">
        <f t="shared" si="117"/>
        <v>#N/A</v>
      </c>
      <c r="CK47" s="6">
        <f t="shared" si="118"/>
        <v>1</v>
      </c>
      <c r="CL47" s="6">
        <f t="shared" si="119"/>
        <v>1</v>
      </c>
      <c r="CM47" s="6">
        <f t="shared" si="120"/>
        <v>1</v>
      </c>
      <c r="CN47" s="6">
        <f t="shared" si="121"/>
        <v>1</v>
      </c>
      <c r="CO47" s="6">
        <f t="shared" si="122"/>
        <v>0</v>
      </c>
      <c r="CP47" s="6">
        <f t="shared" si="123"/>
        <v>1</v>
      </c>
      <c r="CQ47" s="6">
        <f t="shared" si="124"/>
        <v>1</v>
      </c>
      <c r="CR47" s="81" t="str">
        <f t="shared" si="125"/>
        <v/>
      </c>
      <c r="CS47">
        <f t="shared" si="126"/>
        <v>0</v>
      </c>
      <c r="CT47">
        <f t="shared" si="19"/>
        <v>20</v>
      </c>
      <c r="CU47" t="str">
        <f t="shared" si="127"/>
        <v>rm</v>
      </c>
      <c r="CV47" s="81">
        <f t="shared" si="128"/>
        <v>480</v>
      </c>
      <c r="CW47" s="81">
        <f>(CV47/25)^1.5*(Calculator!$BU$4/10000)*CW$5</f>
        <v>217.23305503786497</v>
      </c>
      <c r="CX47" t="str">
        <f t="shared" si="129"/>
        <v>$20/rm</v>
      </c>
    </row>
    <row r="48" spans="2:102" x14ac:dyDescent="0.25">
      <c r="B48" s="115" t="s">
        <v>233</v>
      </c>
      <c r="C48" s="13">
        <v>46236.341666666667</v>
      </c>
      <c r="D48">
        <v>29437</v>
      </c>
      <c r="E48" s="54" t="s">
        <v>237</v>
      </c>
      <c r="F48" s="54" t="s">
        <v>386</v>
      </c>
      <c r="G48" s="54" t="s">
        <v>1634</v>
      </c>
      <c r="H48" s="55">
        <v>13.900000000000002</v>
      </c>
      <c r="I48" s="55">
        <v>13.5</v>
      </c>
      <c r="J48" s="55">
        <v>13.3</v>
      </c>
      <c r="K48" s="54"/>
      <c r="L48" s="56" t="b">
        <v>0</v>
      </c>
      <c r="M48" s="56" t="b">
        <v>0</v>
      </c>
      <c r="N48" s="54">
        <v>1</v>
      </c>
      <c r="O48" s="54" t="s">
        <v>228</v>
      </c>
      <c r="P48" s="54">
        <v>100</v>
      </c>
      <c r="Q48" s="54">
        <v>12</v>
      </c>
      <c r="R48" s="54" t="s">
        <v>388</v>
      </c>
      <c r="S48" s="54" t="s">
        <v>389</v>
      </c>
      <c r="T48" s="54" t="s">
        <v>400</v>
      </c>
      <c r="U48" s="54" t="s">
        <v>1631</v>
      </c>
      <c r="V48" s="54" t="s">
        <v>1635</v>
      </c>
      <c r="W48" s="54" t="b">
        <v>0</v>
      </c>
      <c r="X48" s="54"/>
      <c r="Y48" s="57" t="s">
        <v>1636</v>
      </c>
      <c r="Z48" s="54" t="s">
        <v>394</v>
      </c>
      <c r="AA48" s="54"/>
      <c r="AB48" s="54" t="s">
        <v>395</v>
      </c>
      <c r="AC48" s="56" t="b">
        <v>1</v>
      </c>
      <c r="AD48" s="56" t="b">
        <v>0</v>
      </c>
      <c r="AE48" s="54" t="s">
        <v>303</v>
      </c>
      <c r="AF48" s="58">
        <v>46234</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6.9379999999999997E-2</v>
      </c>
      <c r="BC48" s="60">
        <v>4.0599999999999996</v>
      </c>
      <c r="BD48" s="61">
        <v>6.1196E-2</v>
      </c>
      <c r="BE48" s="62" t="s">
        <v>293</v>
      </c>
      <c r="BF48" s="35">
        <f t="shared" si="106"/>
        <v>4.0600000000000005</v>
      </c>
      <c r="BG48" s="35">
        <f t="shared" si="106"/>
        <v>6.0295000000000001E-2</v>
      </c>
      <c r="BH48" s="35" t="str">
        <f t="shared" si="107"/>
        <v>Low</v>
      </c>
      <c r="BI48" s="110">
        <f t="shared" si="108"/>
        <v>0</v>
      </c>
      <c r="BJ48" s="83">
        <f>VLOOKUP($F48,REP_Info!$D$6:$H$250,5,FALSE)</f>
        <v>1.244</v>
      </c>
      <c r="BK48" s="30">
        <f t="shared" si="109"/>
        <v>13.779500000000002</v>
      </c>
      <c r="BL48" s="30">
        <f t="shared" si="109"/>
        <v>13.373500000000002</v>
      </c>
      <c r="BM48" s="30">
        <f t="shared" si="109"/>
        <v>13.170499999999999</v>
      </c>
      <c r="BN48" s="29">
        <f t="shared" si="109"/>
        <v>13.102833333333333</v>
      </c>
      <c r="BO48" s="85" t="str">
        <f t="shared" si="110"/>
        <v>$$$</v>
      </c>
      <c r="BP48" s="88" t="str">
        <f t="shared" si="111"/>
        <v>$$$</v>
      </c>
      <c r="BQ48" s="88" t="str">
        <f t="shared" si="112"/>
        <v>$$$</v>
      </c>
      <c r="BR48" s="88" t="str">
        <f t="shared" si="113"/>
        <v>$$$</v>
      </c>
      <c r="BS48" s="29" t="e">
        <f t="shared" si="114"/>
        <v>#N/A</v>
      </c>
      <c r="BT48" s="29" t="e">
        <f t="shared" si="114"/>
        <v>#N/A</v>
      </c>
      <c r="BU48" s="29" t="e">
        <f t="shared" si="114"/>
        <v>#N/A</v>
      </c>
      <c r="BV48" s="29" t="e">
        <f t="shared" si="114"/>
        <v>#N/A</v>
      </c>
      <c r="BW48" s="29" t="e">
        <f t="shared" si="114"/>
        <v>#N/A</v>
      </c>
      <c r="BX48" s="29" t="e">
        <f t="shared" si="114"/>
        <v>#N/A</v>
      </c>
      <c r="BY48" s="29" t="e">
        <f t="shared" si="114"/>
        <v>#N/A</v>
      </c>
      <c r="BZ48" s="29" t="e">
        <f t="shared" si="114"/>
        <v>#N/A</v>
      </c>
      <c r="CA48" s="29" t="e">
        <f t="shared" si="114"/>
        <v>#N/A</v>
      </c>
      <c r="CB48" s="29" t="e">
        <f t="shared" si="114"/>
        <v>#N/A</v>
      </c>
      <c r="CC48" s="29" t="e">
        <f t="shared" si="114"/>
        <v>#N/A</v>
      </c>
      <c r="CD48" s="29" t="e">
        <f t="shared" si="114"/>
        <v>#N/A</v>
      </c>
      <c r="CE48" s="6" t="str">
        <f t="shared" si="7"/>
        <v/>
      </c>
      <c r="CF48" s="27" t="e">
        <f>IF(AND(CI48,NOT(AD48)),LOOKUP(CF$5,{0,750,1500},H48:J48),"")</f>
        <v>#N/A</v>
      </c>
      <c r="CG48" s="6" t="str">
        <f t="shared" si="8"/>
        <v/>
      </c>
      <c r="CH48" t="e">
        <f t="shared" si="115"/>
        <v>#N/A</v>
      </c>
      <c r="CI48" t="e">
        <f t="shared" si="116"/>
        <v>#N/A</v>
      </c>
      <c r="CJ48" s="6" t="e">
        <f t="shared" si="117"/>
        <v>#N/A</v>
      </c>
      <c r="CK48" s="6">
        <f t="shared" si="118"/>
        <v>1</v>
      </c>
      <c r="CL48" s="6">
        <f t="shared" si="119"/>
        <v>1</v>
      </c>
      <c r="CM48" s="6">
        <f t="shared" si="120"/>
        <v>1</v>
      </c>
      <c r="CN48" s="6">
        <f t="shared" si="121"/>
        <v>1</v>
      </c>
      <c r="CO48" s="6">
        <f t="shared" si="122"/>
        <v>1</v>
      </c>
      <c r="CP48" s="6">
        <f t="shared" si="123"/>
        <v>1</v>
      </c>
      <c r="CQ48" s="6">
        <f t="shared" si="124"/>
        <v>1</v>
      </c>
      <c r="CR48" s="81" t="str">
        <f t="shared" si="125"/>
        <v/>
      </c>
      <c r="CS48">
        <f t="shared" si="126"/>
        <v>0</v>
      </c>
      <c r="CT48">
        <f t="shared" si="19"/>
        <v>20</v>
      </c>
      <c r="CU48" t="str">
        <f t="shared" si="127"/>
        <v>rm</v>
      </c>
      <c r="CV48" s="81">
        <f t="shared" si="128"/>
        <v>240</v>
      </c>
      <c r="CW48" s="81">
        <f>(CV48/25)^1.5*(Calculator!$BU$4/10000)*CW$5</f>
        <v>76.803483157572401</v>
      </c>
      <c r="CX48" t="str">
        <f t="shared" si="129"/>
        <v>$20/rm</v>
      </c>
    </row>
    <row r="49" spans="2:102" x14ac:dyDescent="0.25">
      <c r="B49" s="115" t="s">
        <v>233</v>
      </c>
      <c r="C49" s="13">
        <v>46236.341666666667</v>
      </c>
      <c r="D49">
        <v>29439</v>
      </c>
      <c r="E49" s="54" t="s">
        <v>237</v>
      </c>
      <c r="F49" s="54" t="s">
        <v>386</v>
      </c>
      <c r="G49" s="54" t="s">
        <v>387</v>
      </c>
      <c r="H49" s="55">
        <v>13.700000000000001</v>
      </c>
      <c r="I49" s="55">
        <v>13.3</v>
      </c>
      <c r="J49" s="55">
        <v>13.100000000000001</v>
      </c>
      <c r="K49" s="54"/>
      <c r="L49" s="56" t="b">
        <v>0</v>
      </c>
      <c r="M49" s="56" t="b">
        <v>0</v>
      </c>
      <c r="N49" s="54">
        <v>1</v>
      </c>
      <c r="O49" s="54" t="s">
        <v>228</v>
      </c>
      <c r="P49" s="54">
        <v>29</v>
      </c>
      <c r="Q49" s="54">
        <v>12</v>
      </c>
      <c r="R49" s="54" t="s">
        <v>388</v>
      </c>
      <c r="S49" s="54" t="s">
        <v>389</v>
      </c>
      <c r="T49" s="54" t="s">
        <v>400</v>
      </c>
      <c r="U49" s="54" t="s">
        <v>401</v>
      </c>
      <c r="V49" s="54" t="s">
        <v>402</v>
      </c>
      <c r="W49" s="54" t="b">
        <v>0</v>
      </c>
      <c r="X49" s="54"/>
      <c r="Y49" s="57" t="s">
        <v>403</v>
      </c>
      <c r="Z49" s="54" t="s">
        <v>394</v>
      </c>
      <c r="AA49" s="54"/>
      <c r="AB49" s="54" t="s">
        <v>395</v>
      </c>
      <c r="AC49" s="56" t="b">
        <v>1</v>
      </c>
      <c r="AD49" s="56" t="b">
        <v>0</v>
      </c>
      <c r="AE49" s="54" t="s">
        <v>303</v>
      </c>
      <c r="AF49" s="58">
        <v>46234</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6.7780000000000007E-2</v>
      </c>
      <c r="BC49" s="60">
        <v>4.0599999999999996</v>
      </c>
      <c r="BD49" s="61">
        <v>6.1196E-2</v>
      </c>
      <c r="BE49" s="62" t="s">
        <v>293</v>
      </c>
      <c r="BF49" s="35">
        <f t="shared" si="106"/>
        <v>4.0600000000000005</v>
      </c>
      <c r="BG49" s="35">
        <f t="shared" si="106"/>
        <v>6.0295000000000001E-2</v>
      </c>
      <c r="BH49" s="35" t="str">
        <f t="shared" si="107"/>
        <v>Low</v>
      </c>
      <c r="BI49" s="110">
        <f t="shared" si="108"/>
        <v>0</v>
      </c>
      <c r="BJ49" s="83">
        <f>VLOOKUP($F49,REP_Info!$D$6:$H$250,5,FALSE)</f>
        <v>1.244</v>
      </c>
      <c r="BK49" s="30">
        <f t="shared" si="109"/>
        <v>13.6195</v>
      </c>
      <c r="BL49" s="30">
        <f t="shared" si="109"/>
        <v>13.2135</v>
      </c>
      <c r="BM49" s="30">
        <f t="shared" si="109"/>
        <v>13.010500000000002</v>
      </c>
      <c r="BN49" s="29">
        <f t="shared" si="109"/>
        <v>12.942833333333333</v>
      </c>
      <c r="BO49" s="85" t="str">
        <f t="shared" si="110"/>
        <v>$$$</v>
      </c>
      <c r="BP49" s="88" t="str">
        <f t="shared" si="111"/>
        <v>$$$</v>
      </c>
      <c r="BQ49" s="88" t="str">
        <f t="shared" si="112"/>
        <v>$$$</v>
      </c>
      <c r="BR49" s="88" t="str">
        <f t="shared" si="113"/>
        <v>$$$</v>
      </c>
      <c r="BS49" s="29" t="e">
        <f t="shared" si="114"/>
        <v>#N/A</v>
      </c>
      <c r="BT49" s="29" t="e">
        <f t="shared" si="114"/>
        <v>#N/A</v>
      </c>
      <c r="BU49" s="29" t="e">
        <f t="shared" si="114"/>
        <v>#N/A</v>
      </c>
      <c r="BV49" s="29" t="e">
        <f t="shared" si="114"/>
        <v>#N/A</v>
      </c>
      <c r="BW49" s="29" t="e">
        <f t="shared" si="114"/>
        <v>#N/A</v>
      </c>
      <c r="BX49" s="29" t="e">
        <f t="shared" si="114"/>
        <v>#N/A</v>
      </c>
      <c r="BY49" s="29" t="e">
        <f t="shared" si="114"/>
        <v>#N/A</v>
      </c>
      <c r="BZ49" s="29" t="e">
        <f t="shared" si="114"/>
        <v>#N/A</v>
      </c>
      <c r="CA49" s="29" t="e">
        <f t="shared" si="114"/>
        <v>#N/A</v>
      </c>
      <c r="CB49" s="29" t="e">
        <f t="shared" si="114"/>
        <v>#N/A</v>
      </c>
      <c r="CC49" s="29" t="e">
        <f t="shared" si="114"/>
        <v>#N/A</v>
      </c>
      <c r="CD49" s="29" t="e">
        <f t="shared" si="114"/>
        <v>#N/A</v>
      </c>
      <c r="CE49" s="6" t="str">
        <f t="shared" si="7"/>
        <v/>
      </c>
      <c r="CF49" s="27" t="e">
        <f>IF(AND(CI49,NOT(AD49)),LOOKUP(CF$5,{0,750,1500},H49:J49),"")</f>
        <v>#N/A</v>
      </c>
      <c r="CG49" s="6" t="str">
        <f t="shared" si="8"/>
        <v/>
      </c>
      <c r="CH49" t="e">
        <f t="shared" si="115"/>
        <v>#N/A</v>
      </c>
      <c r="CI49" t="e">
        <f t="shared" si="116"/>
        <v>#N/A</v>
      </c>
      <c r="CJ49" s="6" t="e">
        <f t="shared" si="117"/>
        <v>#N/A</v>
      </c>
      <c r="CK49" s="6">
        <f t="shared" si="118"/>
        <v>1</v>
      </c>
      <c r="CL49" s="6">
        <f t="shared" si="119"/>
        <v>1</v>
      </c>
      <c r="CM49" s="6">
        <f t="shared" si="120"/>
        <v>1</v>
      </c>
      <c r="CN49" s="6">
        <f t="shared" si="121"/>
        <v>1</v>
      </c>
      <c r="CO49" s="6">
        <f t="shared" si="122"/>
        <v>1</v>
      </c>
      <c r="CP49" s="6">
        <f t="shared" si="123"/>
        <v>1</v>
      </c>
      <c r="CQ49" s="6">
        <f t="shared" si="124"/>
        <v>1</v>
      </c>
      <c r="CR49" s="81" t="str">
        <f t="shared" si="125"/>
        <v/>
      </c>
      <c r="CS49">
        <f t="shared" si="126"/>
        <v>0</v>
      </c>
      <c r="CT49">
        <f t="shared" si="19"/>
        <v>20</v>
      </c>
      <c r="CU49" t="str">
        <f t="shared" si="127"/>
        <v>rm</v>
      </c>
      <c r="CV49" s="81">
        <f t="shared" si="128"/>
        <v>240</v>
      </c>
      <c r="CW49" s="81">
        <f>(CV49/25)^1.5*(Calculator!$BU$4/10000)*CW$5</f>
        <v>76.803483157572401</v>
      </c>
      <c r="CX49" t="str">
        <f t="shared" si="129"/>
        <v>$20/rm</v>
      </c>
    </row>
    <row r="50" spans="2:102" x14ac:dyDescent="0.25">
      <c r="B50" s="115" t="s">
        <v>233</v>
      </c>
      <c r="C50" s="13">
        <v>46233.236805555556</v>
      </c>
      <c r="D50">
        <v>29443</v>
      </c>
      <c r="E50" s="54" t="s">
        <v>237</v>
      </c>
      <c r="F50" s="54" t="s">
        <v>386</v>
      </c>
      <c r="G50" s="54" t="s">
        <v>396</v>
      </c>
      <c r="H50" s="55">
        <v>14.2</v>
      </c>
      <c r="I50" s="55">
        <v>13.8</v>
      </c>
      <c r="J50" s="55">
        <v>13.600000000000001</v>
      </c>
      <c r="K50" s="54"/>
      <c r="L50" s="56" t="b">
        <v>0</v>
      </c>
      <c r="M50" s="56" t="b">
        <v>0</v>
      </c>
      <c r="N50" s="54">
        <v>1</v>
      </c>
      <c r="O50" s="54" t="s">
        <v>228</v>
      </c>
      <c r="P50" s="54">
        <v>29</v>
      </c>
      <c r="Q50" s="54">
        <v>24</v>
      </c>
      <c r="R50" s="54" t="s">
        <v>388</v>
      </c>
      <c r="S50" s="54" t="s">
        <v>389</v>
      </c>
      <c r="T50" s="54" t="s">
        <v>400</v>
      </c>
      <c r="U50" s="54" t="s">
        <v>404</v>
      </c>
      <c r="V50" s="54" t="s">
        <v>405</v>
      </c>
      <c r="W50" s="54" t="b">
        <v>0</v>
      </c>
      <c r="X50" s="54"/>
      <c r="Y50" s="57" t="s">
        <v>406</v>
      </c>
      <c r="Z50" s="54" t="s">
        <v>394</v>
      </c>
      <c r="AA50" s="54"/>
      <c r="AB50" s="54" t="s">
        <v>395</v>
      </c>
      <c r="AC50" s="56" t="b">
        <v>1</v>
      </c>
      <c r="AD50" s="56" t="b">
        <v>0</v>
      </c>
      <c r="AE50" s="54" t="s">
        <v>303</v>
      </c>
      <c r="AF50" s="58">
        <v>46232</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7.2550000000000003E-2</v>
      </c>
      <c r="BC50" s="60">
        <v>4.0599999999999996</v>
      </c>
      <c r="BD50" s="61">
        <v>6.1196E-2</v>
      </c>
      <c r="BE50" s="62" t="s">
        <v>293</v>
      </c>
      <c r="BF50" s="35">
        <f t="shared" si="106"/>
        <v>4.0600000000000005</v>
      </c>
      <c r="BG50" s="35">
        <f t="shared" si="106"/>
        <v>6.0295000000000001E-2</v>
      </c>
      <c r="BH50" s="35" t="str">
        <f t="shared" si="107"/>
        <v>Low</v>
      </c>
      <c r="BI50" s="110">
        <f t="shared" si="108"/>
        <v>0</v>
      </c>
      <c r="BJ50" s="83">
        <f>VLOOKUP($F50,REP_Info!$D$6:$H$250,5,FALSE)</f>
        <v>1.244</v>
      </c>
      <c r="BK50" s="30">
        <f t="shared" si="109"/>
        <v>14.096500000000001</v>
      </c>
      <c r="BL50" s="30">
        <f t="shared" si="109"/>
        <v>13.6905</v>
      </c>
      <c r="BM50" s="30">
        <f t="shared" si="109"/>
        <v>13.487500000000001</v>
      </c>
      <c r="BN50" s="29">
        <f t="shared" si="109"/>
        <v>13.419833333333333</v>
      </c>
      <c r="BO50" s="85" t="str">
        <f t="shared" si="110"/>
        <v>$$$</v>
      </c>
      <c r="BP50" s="88" t="str">
        <f t="shared" si="111"/>
        <v>$$$</v>
      </c>
      <c r="BQ50" s="88" t="str">
        <f t="shared" si="112"/>
        <v>$$$</v>
      </c>
      <c r="BR50" s="88" t="str">
        <f t="shared" si="113"/>
        <v>$$$</v>
      </c>
      <c r="BS50" s="29" t="e">
        <f t="shared" si="114"/>
        <v>#N/A</v>
      </c>
      <c r="BT50" s="29" t="e">
        <f t="shared" si="114"/>
        <v>#N/A</v>
      </c>
      <c r="BU50" s="29" t="e">
        <f t="shared" si="114"/>
        <v>#N/A</v>
      </c>
      <c r="BV50" s="29" t="e">
        <f t="shared" si="114"/>
        <v>#N/A</v>
      </c>
      <c r="BW50" s="29" t="e">
        <f t="shared" si="114"/>
        <v>#N/A</v>
      </c>
      <c r="BX50" s="29" t="e">
        <f t="shared" si="114"/>
        <v>#N/A</v>
      </c>
      <c r="BY50" s="29" t="e">
        <f t="shared" si="114"/>
        <v>#N/A</v>
      </c>
      <c r="BZ50" s="29" t="e">
        <f t="shared" si="114"/>
        <v>#N/A</v>
      </c>
      <c r="CA50" s="29" t="e">
        <f t="shared" si="114"/>
        <v>#N/A</v>
      </c>
      <c r="CB50" s="29" t="e">
        <f t="shared" si="114"/>
        <v>#N/A</v>
      </c>
      <c r="CC50" s="29" t="e">
        <f t="shared" si="114"/>
        <v>#N/A</v>
      </c>
      <c r="CD50" s="29" t="e">
        <f t="shared" si="114"/>
        <v>#N/A</v>
      </c>
      <c r="CE50" s="6" t="str">
        <f t="shared" si="7"/>
        <v/>
      </c>
      <c r="CF50" s="27" t="e">
        <f>IF(AND(CI50,NOT(AD50)),LOOKUP(CF$5,{0,750,1500},H50:J50),"")</f>
        <v>#N/A</v>
      </c>
      <c r="CG50" s="6" t="str">
        <f t="shared" si="8"/>
        <v/>
      </c>
      <c r="CH50" t="e">
        <f t="shared" si="115"/>
        <v>#N/A</v>
      </c>
      <c r="CI50" t="e">
        <f t="shared" si="116"/>
        <v>#N/A</v>
      </c>
      <c r="CJ50" s="6" t="e">
        <f t="shared" si="117"/>
        <v>#N/A</v>
      </c>
      <c r="CK50" s="6">
        <f t="shared" si="118"/>
        <v>1</v>
      </c>
      <c r="CL50" s="6">
        <f t="shared" si="119"/>
        <v>1</v>
      </c>
      <c r="CM50" s="6">
        <f t="shared" si="120"/>
        <v>1</v>
      </c>
      <c r="CN50" s="6">
        <f t="shared" si="121"/>
        <v>1</v>
      </c>
      <c r="CO50" s="6">
        <f t="shared" si="122"/>
        <v>0</v>
      </c>
      <c r="CP50" s="6">
        <f t="shared" si="123"/>
        <v>1</v>
      </c>
      <c r="CQ50" s="6">
        <f t="shared" si="124"/>
        <v>1</v>
      </c>
      <c r="CR50" s="81" t="str">
        <f t="shared" si="125"/>
        <v/>
      </c>
      <c r="CS50">
        <f t="shared" si="126"/>
        <v>0</v>
      </c>
      <c r="CT50">
        <f t="shared" si="19"/>
        <v>20</v>
      </c>
      <c r="CU50" t="str">
        <f t="shared" si="127"/>
        <v>rm</v>
      </c>
      <c r="CV50" s="81">
        <f t="shared" si="128"/>
        <v>480</v>
      </c>
      <c r="CW50" s="81">
        <f>(CV50/25)^1.5*(Calculator!$BU$4/10000)*CW$5</f>
        <v>217.23305503786497</v>
      </c>
      <c r="CX50" t="str">
        <f t="shared" si="129"/>
        <v>$20/rm</v>
      </c>
    </row>
    <row r="51" spans="2:102" x14ac:dyDescent="0.25">
      <c r="B51" s="115" t="s">
        <v>233</v>
      </c>
      <c r="C51" s="13">
        <v>46237.767361111109</v>
      </c>
      <c r="D51">
        <v>29471</v>
      </c>
      <c r="E51" s="54" t="s">
        <v>235</v>
      </c>
      <c r="F51" s="54" t="s">
        <v>386</v>
      </c>
      <c r="G51" s="54" t="s">
        <v>1634</v>
      </c>
      <c r="H51" s="55">
        <v>13.100000000000001</v>
      </c>
      <c r="I51" s="55">
        <v>12.6</v>
      </c>
      <c r="J51" s="55">
        <v>12.3</v>
      </c>
      <c r="K51" s="54"/>
      <c r="L51" s="56" t="b">
        <v>0</v>
      </c>
      <c r="M51" s="56" t="b">
        <v>0</v>
      </c>
      <c r="N51" s="54">
        <v>1</v>
      </c>
      <c r="O51" s="54" t="s">
        <v>228</v>
      </c>
      <c r="P51" s="54">
        <v>100</v>
      </c>
      <c r="Q51" s="54">
        <v>12</v>
      </c>
      <c r="R51" s="54" t="s">
        <v>388</v>
      </c>
      <c r="S51" s="54" t="s">
        <v>389</v>
      </c>
      <c r="T51" s="54" t="s">
        <v>390</v>
      </c>
      <c r="U51" s="54" t="s">
        <v>1630</v>
      </c>
      <c r="V51" s="54" t="s">
        <v>1637</v>
      </c>
      <c r="W51" s="54" t="b">
        <v>0</v>
      </c>
      <c r="X51" s="54"/>
      <c r="Y51" s="57" t="s">
        <v>1638</v>
      </c>
      <c r="Z51" s="54" t="s">
        <v>394</v>
      </c>
      <c r="AA51" s="54"/>
      <c r="AB51" s="54" t="s">
        <v>395</v>
      </c>
      <c r="AC51" s="56" t="b">
        <v>1</v>
      </c>
      <c r="AD51" s="56" t="b">
        <v>0</v>
      </c>
      <c r="AE51" s="54" t="s">
        <v>303</v>
      </c>
      <c r="AF51" s="58">
        <v>46237</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6.9260000000000002E-2</v>
      </c>
      <c r="BC51" s="60">
        <v>4.9000000000000004</v>
      </c>
      <c r="BD51" s="61">
        <v>5.1461E-2</v>
      </c>
      <c r="BE51" s="62" t="s">
        <v>293</v>
      </c>
      <c r="BF51" s="35">
        <f t="shared" si="106"/>
        <v>4.9000000000000004</v>
      </c>
      <c r="BG51" s="35">
        <f t="shared" si="106"/>
        <v>5.1461E-2</v>
      </c>
      <c r="BH51" s="35" t="str">
        <f t="shared" si="107"/>
        <v>Low</v>
      </c>
      <c r="BI51" s="110">
        <f t="shared" si="108"/>
        <v>0</v>
      </c>
      <c r="BJ51" s="83">
        <f>VLOOKUP($F51,REP_Info!$D$6:$H$250,5,FALSE)</f>
        <v>1.244</v>
      </c>
      <c r="BK51" s="30">
        <f t="shared" si="109"/>
        <v>13.052100000000003</v>
      </c>
      <c r="BL51" s="30">
        <f t="shared" si="109"/>
        <v>12.562100000000001</v>
      </c>
      <c r="BM51" s="30">
        <f t="shared" si="109"/>
        <v>12.3171</v>
      </c>
      <c r="BN51" s="29">
        <f t="shared" si="109"/>
        <v>12.235433333333331</v>
      </c>
      <c r="BO51" s="85" t="str">
        <f t="shared" si="110"/>
        <v>$$$</v>
      </c>
      <c r="BP51" s="88" t="str">
        <f t="shared" si="111"/>
        <v>$$$</v>
      </c>
      <c r="BQ51" s="88" t="str">
        <f t="shared" si="112"/>
        <v>$$$</v>
      </c>
      <c r="BR51" s="88" t="str">
        <f t="shared" si="113"/>
        <v>$$$</v>
      </c>
      <c r="BS51" s="29" t="e">
        <f t="shared" si="114"/>
        <v>#N/A</v>
      </c>
      <c r="BT51" s="29" t="e">
        <f t="shared" si="114"/>
        <v>#N/A</v>
      </c>
      <c r="BU51" s="29" t="e">
        <f t="shared" si="114"/>
        <v>#N/A</v>
      </c>
      <c r="BV51" s="29" t="e">
        <f t="shared" ref="BS51:CD53" si="130">IF($CI51,IF(BV$7&gt;0,IF(BV$4&gt;$Q51,$BF51+BV$7*(BV$5+$BG51+$BI51),LOOKUP(BV$7,$AH51:$AL51,$AM51:$AQ51)+IF($AG51="Y",SUMPRODUCT($AX51:$BB51-$AW51:$BA51,BV$7-$AR51:$AV51,N(BV$7&gt;$AR51:$AV51)),BV$7*LOOKUP(BV$7,$AR51:$AV51,$AX51:$BB51))+IF($BE51="Y",$BF51,$BC51)+BV$7*IF($BE51="Y",$BG51,$BD51))*100/BV$7,""),NA())</f>
        <v>#N/A</v>
      </c>
      <c r="BW51" s="29" t="e">
        <f t="shared" si="130"/>
        <v>#N/A</v>
      </c>
      <c r="BX51" s="29" t="e">
        <f t="shared" si="130"/>
        <v>#N/A</v>
      </c>
      <c r="BY51" s="29" t="e">
        <f t="shared" si="130"/>
        <v>#N/A</v>
      </c>
      <c r="BZ51" s="29" t="e">
        <f t="shared" si="130"/>
        <v>#N/A</v>
      </c>
      <c r="CA51" s="29" t="e">
        <f t="shared" si="130"/>
        <v>#N/A</v>
      </c>
      <c r="CB51" s="29" t="e">
        <f t="shared" si="130"/>
        <v>#N/A</v>
      </c>
      <c r="CC51" s="29" t="e">
        <f t="shared" si="130"/>
        <v>#N/A</v>
      </c>
      <c r="CD51" s="29" t="e">
        <f t="shared" si="130"/>
        <v>#N/A</v>
      </c>
      <c r="CE51" s="6" t="str">
        <f t="shared" si="7"/>
        <v/>
      </c>
      <c r="CF51" s="27" t="e">
        <f>IF(AND(CI51,NOT(AD51)),LOOKUP(CF$5,{0,750,1500},H51:J51),"")</f>
        <v>#N/A</v>
      </c>
      <c r="CG51" s="6" t="str">
        <f t="shared" si="8"/>
        <v/>
      </c>
      <c r="CH51" t="e">
        <f t="shared" si="115"/>
        <v>#N/A</v>
      </c>
      <c r="CI51" t="e">
        <f t="shared" si="116"/>
        <v>#N/A</v>
      </c>
      <c r="CJ51" s="6" t="e">
        <f t="shared" si="117"/>
        <v>#N/A</v>
      </c>
      <c r="CK51" s="6">
        <f t="shared" si="118"/>
        <v>1</v>
      </c>
      <c r="CL51" s="6">
        <f t="shared" si="119"/>
        <v>1</v>
      </c>
      <c r="CM51" s="6">
        <f t="shared" si="120"/>
        <v>1</v>
      </c>
      <c r="CN51" s="6">
        <f t="shared" si="121"/>
        <v>1</v>
      </c>
      <c r="CO51" s="6">
        <f t="shared" si="122"/>
        <v>1</v>
      </c>
      <c r="CP51" s="6">
        <f t="shared" si="123"/>
        <v>1</v>
      </c>
      <c r="CQ51" s="6">
        <f t="shared" si="124"/>
        <v>1</v>
      </c>
      <c r="CR51" s="81" t="str">
        <f t="shared" si="125"/>
        <v/>
      </c>
      <c r="CS51">
        <f t="shared" si="126"/>
        <v>0</v>
      </c>
      <c r="CT51">
        <f t="shared" si="19"/>
        <v>20</v>
      </c>
      <c r="CU51" t="str">
        <f t="shared" si="127"/>
        <v>rm</v>
      </c>
      <c r="CV51" s="81">
        <f t="shared" si="128"/>
        <v>240</v>
      </c>
      <c r="CW51" s="81">
        <f>(CV51/25)^1.5*(Calculator!$BU$4/10000)*CW$5</f>
        <v>76.803483157572401</v>
      </c>
      <c r="CX51" t="str">
        <f t="shared" si="129"/>
        <v>$20/rm</v>
      </c>
    </row>
    <row r="52" spans="2:102" x14ac:dyDescent="0.25">
      <c r="B52" s="115" t="s">
        <v>233</v>
      </c>
      <c r="C52" s="13">
        <v>46237.767361111109</v>
      </c>
      <c r="D52">
        <v>34683</v>
      </c>
      <c r="E52" s="54" t="s">
        <v>237</v>
      </c>
      <c r="F52" s="54" t="s">
        <v>386</v>
      </c>
      <c r="G52" s="54" t="s">
        <v>1639</v>
      </c>
      <c r="H52" s="55">
        <v>14.2</v>
      </c>
      <c r="I52" s="55">
        <v>13.8</v>
      </c>
      <c r="J52" s="55">
        <v>13.5</v>
      </c>
      <c r="K52" s="54"/>
      <c r="L52" s="56" t="b">
        <v>0</v>
      </c>
      <c r="M52" s="56" t="b">
        <v>0</v>
      </c>
      <c r="N52" s="54">
        <v>1</v>
      </c>
      <c r="O52" s="54" t="s">
        <v>228</v>
      </c>
      <c r="P52" s="54">
        <v>29</v>
      </c>
      <c r="Q52" s="54">
        <v>13</v>
      </c>
      <c r="R52" s="54" t="s">
        <v>388</v>
      </c>
      <c r="S52" s="54" t="s">
        <v>407</v>
      </c>
      <c r="T52" s="54" t="s">
        <v>400</v>
      </c>
      <c r="U52" s="54" t="s">
        <v>1629</v>
      </c>
      <c r="V52" s="54" t="s">
        <v>1640</v>
      </c>
      <c r="W52" s="54" t="b">
        <v>0</v>
      </c>
      <c r="X52" s="54"/>
      <c r="Y52" s="57" t="s">
        <v>1641</v>
      </c>
      <c r="Z52" s="54" t="s">
        <v>394</v>
      </c>
      <c r="AA52" s="54"/>
      <c r="AB52" s="54" t="s">
        <v>395</v>
      </c>
      <c r="AC52" s="56" t="b">
        <v>1</v>
      </c>
      <c r="AD52" s="56" t="b">
        <v>0</v>
      </c>
      <c r="AE52" s="54" t="s">
        <v>303</v>
      </c>
      <c r="AF52" s="58">
        <v>46237</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7.3150000000000007E-2</v>
      </c>
      <c r="BC52" s="60">
        <v>4.0599999999999996</v>
      </c>
      <c r="BD52" s="61">
        <v>6.0295000000000001E-2</v>
      </c>
      <c r="BE52" s="62" t="s">
        <v>293</v>
      </c>
      <c r="BF52" s="35">
        <f t="shared" si="106"/>
        <v>4.0600000000000005</v>
      </c>
      <c r="BG52" s="35">
        <f t="shared" si="106"/>
        <v>6.0295000000000001E-2</v>
      </c>
      <c r="BH52" s="35" t="str">
        <f t="shared" si="107"/>
        <v>Low</v>
      </c>
      <c r="BI52" s="110">
        <f t="shared" si="108"/>
        <v>0</v>
      </c>
      <c r="BJ52" s="83">
        <f>VLOOKUP($F52,REP_Info!$D$6:$H$250,5,FALSE)</f>
        <v>1.244</v>
      </c>
      <c r="BK52" s="30">
        <f t="shared" si="109"/>
        <v>14.156499999999999</v>
      </c>
      <c r="BL52" s="30">
        <f t="shared" si="109"/>
        <v>13.750500000000001</v>
      </c>
      <c r="BM52" s="30">
        <f t="shared" si="109"/>
        <v>13.547500000000001</v>
      </c>
      <c r="BN52" s="29">
        <f t="shared" si="109"/>
        <v>13.479833333333334</v>
      </c>
      <c r="BO52" s="85" t="str">
        <f t="shared" si="110"/>
        <v>$$$</v>
      </c>
      <c r="BP52" s="88" t="str">
        <f t="shared" si="111"/>
        <v>$$$</v>
      </c>
      <c r="BQ52" s="88" t="str">
        <f t="shared" si="112"/>
        <v>$$$</v>
      </c>
      <c r="BR52" s="88" t="str">
        <f t="shared" si="113"/>
        <v>$$$</v>
      </c>
      <c r="BS52" s="29" t="e">
        <f t="shared" si="130"/>
        <v>#N/A</v>
      </c>
      <c r="BT52" s="29" t="e">
        <f t="shared" si="130"/>
        <v>#N/A</v>
      </c>
      <c r="BU52" s="29" t="e">
        <f t="shared" si="130"/>
        <v>#N/A</v>
      </c>
      <c r="BV52" s="29" t="e">
        <f t="shared" si="130"/>
        <v>#N/A</v>
      </c>
      <c r="BW52" s="29" t="e">
        <f t="shared" si="130"/>
        <v>#N/A</v>
      </c>
      <c r="BX52" s="29" t="e">
        <f t="shared" si="130"/>
        <v>#N/A</v>
      </c>
      <c r="BY52" s="29" t="e">
        <f t="shared" si="130"/>
        <v>#N/A</v>
      </c>
      <c r="BZ52" s="29" t="e">
        <f t="shared" si="130"/>
        <v>#N/A</v>
      </c>
      <c r="CA52" s="29" t="e">
        <f t="shared" si="130"/>
        <v>#N/A</v>
      </c>
      <c r="CB52" s="29" t="e">
        <f t="shared" si="130"/>
        <v>#N/A</v>
      </c>
      <c r="CC52" s="29" t="e">
        <f t="shared" si="130"/>
        <v>#N/A</v>
      </c>
      <c r="CD52" s="29" t="e">
        <f t="shared" si="130"/>
        <v>#N/A</v>
      </c>
      <c r="CE52" s="6" t="str">
        <f t="shared" si="7"/>
        <v/>
      </c>
      <c r="CF52" s="27" t="e">
        <f>IF(AND(CI52,NOT(AD52)),LOOKUP(CF$5,{0,750,1500},H52:J52),"")</f>
        <v>#N/A</v>
      </c>
      <c r="CG52" s="6" t="str">
        <f t="shared" si="8"/>
        <v/>
      </c>
      <c r="CH52" t="e">
        <f t="shared" si="115"/>
        <v>#N/A</v>
      </c>
      <c r="CI52" t="e">
        <f t="shared" si="116"/>
        <v>#N/A</v>
      </c>
      <c r="CJ52" s="6" t="e">
        <f t="shared" si="117"/>
        <v>#N/A</v>
      </c>
      <c r="CK52" s="6">
        <f t="shared" si="118"/>
        <v>1</v>
      </c>
      <c r="CL52" s="6">
        <f t="shared" si="119"/>
        <v>1</v>
      </c>
      <c r="CM52" s="6">
        <f t="shared" si="120"/>
        <v>1</v>
      </c>
      <c r="CN52" s="6">
        <f t="shared" si="121"/>
        <v>1</v>
      </c>
      <c r="CO52" s="6">
        <f t="shared" si="122"/>
        <v>0</v>
      </c>
      <c r="CP52" s="6">
        <f t="shared" si="123"/>
        <v>1</v>
      </c>
      <c r="CQ52" s="6">
        <f t="shared" si="124"/>
        <v>1</v>
      </c>
      <c r="CR52" s="81" t="str">
        <f t="shared" si="125"/>
        <v/>
      </c>
      <c r="CS52">
        <f t="shared" si="126"/>
        <v>0</v>
      </c>
      <c r="CT52">
        <f t="shared" si="19"/>
        <v>20</v>
      </c>
      <c r="CU52" t="str">
        <f t="shared" si="127"/>
        <v>rm</v>
      </c>
      <c r="CV52" s="81">
        <f t="shared" si="128"/>
        <v>260</v>
      </c>
      <c r="CW52" s="81">
        <f>(CV52/25)^1.5*(Calculator!$BU$4/10000)*CW$5</f>
        <v>86.601233078581117</v>
      </c>
      <c r="CX52" t="str">
        <f t="shared" si="129"/>
        <v>$20/rm</v>
      </c>
    </row>
    <row r="53" spans="2:102" x14ac:dyDescent="0.25">
      <c r="B53" s="115" t="s">
        <v>233</v>
      </c>
      <c r="C53" s="13">
        <v>46237.767361111109</v>
      </c>
      <c r="D53">
        <v>34684</v>
      </c>
      <c r="E53" s="54" t="s">
        <v>235</v>
      </c>
      <c r="F53" s="54" t="s">
        <v>386</v>
      </c>
      <c r="G53" s="54" t="s">
        <v>1639</v>
      </c>
      <c r="H53" s="55">
        <v>13.3</v>
      </c>
      <c r="I53" s="55">
        <v>12.8</v>
      </c>
      <c r="J53" s="55">
        <v>12.6</v>
      </c>
      <c r="K53" s="54"/>
      <c r="L53" s="56" t="b">
        <v>0</v>
      </c>
      <c r="M53" s="56" t="b">
        <v>0</v>
      </c>
      <c r="N53" s="54">
        <v>1</v>
      </c>
      <c r="O53" s="54" t="s">
        <v>228</v>
      </c>
      <c r="P53" s="54">
        <v>29</v>
      </c>
      <c r="Q53" s="54">
        <v>13</v>
      </c>
      <c r="R53" s="54" t="s">
        <v>388</v>
      </c>
      <c r="S53" s="54" t="s">
        <v>407</v>
      </c>
      <c r="T53" s="54" t="s">
        <v>390</v>
      </c>
      <c r="U53" s="54" t="s">
        <v>1628</v>
      </c>
      <c r="V53" s="54" t="s">
        <v>1642</v>
      </c>
      <c r="W53" s="54" t="b">
        <v>0</v>
      </c>
      <c r="X53" s="54"/>
      <c r="Y53" s="57" t="s">
        <v>1643</v>
      </c>
      <c r="Z53" s="54" t="s">
        <v>394</v>
      </c>
      <c r="AA53" s="54"/>
      <c r="AB53" s="54" t="s">
        <v>395</v>
      </c>
      <c r="AC53" s="56" t="b">
        <v>1</v>
      </c>
      <c r="AD53" s="56" t="b">
        <v>0</v>
      </c>
      <c r="AE53" s="54" t="s">
        <v>303</v>
      </c>
      <c r="AF53" s="58">
        <v>46237</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7.1870000000000003E-2</v>
      </c>
      <c r="BC53" s="60">
        <v>4.9000000000000004</v>
      </c>
      <c r="BD53" s="61">
        <v>5.1461E-2</v>
      </c>
      <c r="BE53" s="62" t="s">
        <v>293</v>
      </c>
      <c r="BF53" s="35">
        <f t="shared" si="106"/>
        <v>4.9000000000000004</v>
      </c>
      <c r="BG53" s="35">
        <f t="shared" si="106"/>
        <v>5.1461E-2</v>
      </c>
      <c r="BH53" s="35" t="str">
        <f t="shared" si="107"/>
        <v>Low</v>
      </c>
      <c r="BI53" s="110">
        <f t="shared" si="108"/>
        <v>0</v>
      </c>
      <c r="BJ53" s="83">
        <f>VLOOKUP($F53,REP_Info!$D$6:$H$250,5,FALSE)</f>
        <v>1.244</v>
      </c>
      <c r="BK53" s="30">
        <f t="shared" si="109"/>
        <v>13.3131</v>
      </c>
      <c r="BL53" s="30">
        <f t="shared" si="109"/>
        <v>12.823099999999998</v>
      </c>
      <c r="BM53" s="30">
        <f t="shared" si="109"/>
        <v>12.578100000000001</v>
      </c>
      <c r="BN53" s="29">
        <f t="shared" si="109"/>
        <v>12.496433333333334</v>
      </c>
      <c r="BO53" s="85" t="str">
        <f t="shared" si="110"/>
        <v>$$$</v>
      </c>
      <c r="BP53" s="88" t="str">
        <f t="shared" si="111"/>
        <v>$$$</v>
      </c>
      <c r="BQ53" s="88" t="str">
        <f t="shared" si="112"/>
        <v>$$$</v>
      </c>
      <c r="BR53" s="88" t="str">
        <f t="shared" si="113"/>
        <v>$$$</v>
      </c>
      <c r="BS53" s="29" t="e">
        <f t="shared" si="130"/>
        <v>#N/A</v>
      </c>
      <c r="BT53" s="29" t="e">
        <f t="shared" si="130"/>
        <v>#N/A</v>
      </c>
      <c r="BU53" s="29" t="e">
        <f t="shared" si="130"/>
        <v>#N/A</v>
      </c>
      <c r="BV53" s="29" t="e">
        <f t="shared" si="130"/>
        <v>#N/A</v>
      </c>
      <c r="BW53" s="29" t="e">
        <f t="shared" si="130"/>
        <v>#N/A</v>
      </c>
      <c r="BX53" s="29" t="e">
        <f t="shared" si="130"/>
        <v>#N/A</v>
      </c>
      <c r="BY53" s="29" t="e">
        <f t="shared" si="130"/>
        <v>#N/A</v>
      </c>
      <c r="BZ53" s="29" t="e">
        <f t="shared" si="130"/>
        <v>#N/A</v>
      </c>
      <c r="CA53" s="29" t="e">
        <f t="shared" si="130"/>
        <v>#N/A</v>
      </c>
      <c r="CB53" s="29" t="e">
        <f t="shared" si="130"/>
        <v>#N/A</v>
      </c>
      <c r="CC53" s="29" t="e">
        <f t="shared" si="130"/>
        <v>#N/A</v>
      </c>
      <c r="CD53" s="29" t="e">
        <f t="shared" si="130"/>
        <v>#N/A</v>
      </c>
      <c r="CE53" s="6" t="str">
        <f t="shared" si="7"/>
        <v/>
      </c>
      <c r="CF53" s="27" t="e">
        <f>IF(AND(CI53,NOT(AD53)),LOOKUP(CF$5,{0,750,1500},H53:J53),"")</f>
        <v>#N/A</v>
      </c>
      <c r="CG53" s="6" t="str">
        <f t="shared" si="8"/>
        <v/>
      </c>
      <c r="CH53" t="e">
        <f t="shared" si="115"/>
        <v>#N/A</v>
      </c>
      <c r="CI53" t="e">
        <f t="shared" si="116"/>
        <v>#N/A</v>
      </c>
      <c r="CJ53" s="6" t="e">
        <f t="shared" si="117"/>
        <v>#N/A</v>
      </c>
      <c r="CK53" s="6">
        <f t="shared" si="118"/>
        <v>1</v>
      </c>
      <c r="CL53" s="6">
        <f t="shared" si="119"/>
        <v>1</v>
      </c>
      <c r="CM53" s="6">
        <f t="shared" si="120"/>
        <v>1</v>
      </c>
      <c r="CN53" s="6">
        <f t="shared" si="121"/>
        <v>1</v>
      </c>
      <c r="CO53" s="6">
        <f t="shared" si="122"/>
        <v>0</v>
      </c>
      <c r="CP53" s="6">
        <f t="shared" si="123"/>
        <v>1</v>
      </c>
      <c r="CQ53" s="6">
        <f t="shared" si="124"/>
        <v>1</v>
      </c>
      <c r="CR53" s="81" t="str">
        <f t="shared" si="125"/>
        <v/>
      </c>
      <c r="CS53">
        <f t="shared" si="126"/>
        <v>0</v>
      </c>
      <c r="CT53">
        <f t="shared" ref="CT53" si="131">IF(OR(LEFT($R53,2)="No",LEFT($R53,4)="Batt"),0,VALUE(IFERROR(LEFT($R53,FIND("/",$R53)-1),IFERROR(LEFT($R53,FIND(" ",$R53)-1),$R53))))</f>
        <v>20</v>
      </c>
      <c r="CU53" t="str">
        <f t="shared" si="127"/>
        <v>rm</v>
      </c>
      <c r="CV53" s="81">
        <f t="shared" si="128"/>
        <v>260</v>
      </c>
      <c r="CW53" s="81">
        <f>(CV53/25)^1.5*(Calculator!$BU$4/10000)*CW$5</f>
        <v>86.601233078581117</v>
      </c>
      <c r="CX53" t="str">
        <f t="shared" si="129"/>
        <v>$20/rm</v>
      </c>
    </row>
    <row r="54" spans="2:102" x14ac:dyDescent="0.25">
      <c r="B54" s="115" t="s">
        <v>233</v>
      </c>
      <c r="C54" s="13">
        <v>46237.767361111109</v>
      </c>
      <c r="D54">
        <v>34776</v>
      </c>
      <c r="E54" s="54" t="s">
        <v>235</v>
      </c>
      <c r="F54" s="54" t="s">
        <v>386</v>
      </c>
      <c r="G54" s="54" t="s">
        <v>1891</v>
      </c>
      <c r="H54" s="55">
        <v>12.6</v>
      </c>
      <c r="I54" s="55">
        <v>12.1</v>
      </c>
      <c r="J54" s="55">
        <v>11.899999999999999</v>
      </c>
      <c r="K54" s="54"/>
      <c r="L54" s="56" t="b">
        <v>0</v>
      </c>
      <c r="M54" s="56" t="b">
        <v>0</v>
      </c>
      <c r="N54" s="54">
        <v>1</v>
      </c>
      <c r="O54" s="54" t="s">
        <v>228</v>
      </c>
      <c r="P54" s="54">
        <v>29</v>
      </c>
      <c r="Q54" s="54">
        <v>11</v>
      </c>
      <c r="R54" s="54" t="s">
        <v>388</v>
      </c>
      <c r="S54" s="54" t="s">
        <v>407</v>
      </c>
      <c r="T54" s="54" t="s">
        <v>390</v>
      </c>
      <c r="U54" s="54" t="s">
        <v>1872</v>
      </c>
      <c r="V54" s="54" t="s">
        <v>1892</v>
      </c>
      <c r="W54" s="54" t="b">
        <v>0</v>
      </c>
      <c r="X54" s="54"/>
      <c r="Y54" s="57" t="s">
        <v>1893</v>
      </c>
      <c r="Z54" s="54" t="s">
        <v>394</v>
      </c>
      <c r="AA54" s="54"/>
      <c r="AB54" s="54" t="s">
        <v>395</v>
      </c>
      <c r="AC54" s="56" t="b">
        <v>1</v>
      </c>
      <c r="AD54" s="56" t="b">
        <v>0</v>
      </c>
      <c r="AE54" s="54" t="s">
        <v>303</v>
      </c>
      <c r="AF54" s="58">
        <v>46237</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6.4949999999999994E-2</v>
      </c>
      <c r="BC54" s="60">
        <v>4.9000000000000004</v>
      </c>
      <c r="BD54" s="61">
        <v>5.1461E-2</v>
      </c>
      <c r="BE54" s="62" t="s">
        <v>293</v>
      </c>
      <c r="BF54" s="35">
        <f t="shared" si="0"/>
        <v>4.9000000000000004</v>
      </c>
      <c r="BG54" s="35">
        <f t="shared" si="0"/>
        <v>5.1461E-2</v>
      </c>
      <c r="BH54" s="35" t="str">
        <f t="shared" ref="BH54:BH88" si="132">IF(ISTEXT(BE54),IF(AND(AV54=0,SUM(AN54:AQ54)=0),IF(AM54&lt;=0,IF(BE54="Y","Low","Flat"),"Med"),"High"),"?")</f>
        <v>Low</v>
      </c>
      <c r="BI54" s="110">
        <f t="shared" ref="BI54:BI88" si="133">IF(ISNUMBER(AH54),0*BI$5*SIN((EDATE($A$3,$Q54)-DATE(YEAR(EDATE($A$3,$Q54)),1,0)-BI$4)*2*PI()/365),"")</f>
        <v>0</v>
      </c>
      <c r="BJ54" s="83">
        <f>VLOOKUP($F54,REP_Info!$D$6:$H$250,5,FALSE)</f>
        <v>1.244</v>
      </c>
      <c r="BK54" s="30">
        <f t="shared" ref="BK54:BN88" si="134">IF(BK$7&gt;0,(LOOKUP(BK$7,$AH54:$AL54,$AM54:$AQ54)+IF($AG54="Y",SUMPRODUCT($AX54:$BB54-$AW54:$BA54,BK$7-$AR54:$AV54,N(BK$7&gt;$AR54:$AV54)),BK$7*LOOKUP(BK$7,$AR54:$AV54,$AX54:$BB54))+IF($BE54="Y",$BF54,$BC54)+BK$7*IF($BE54="Y",$BG54,$BD54))*100/BK$7,"")</f>
        <v>12.621099999999998</v>
      </c>
      <c r="BL54" s="30">
        <f t="shared" si="134"/>
        <v>12.131099999999998</v>
      </c>
      <c r="BM54" s="30">
        <f t="shared" si="134"/>
        <v>11.886099999999999</v>
      </c>
      <c r="BN54" s="29">
        <f t="shared" si="134"/>
        <v>11.804433333333334</v>
      </c>
      <c r="BO54" s="85" t="str">
        <f t="shared" si="2"/>
        <v>$$$</v>
      </c>
      <c r="BP54" s="88" t="str">
        <f t="shared" ref="BP54:BP88" si="135">IFERROR(BO54*100/BO$5,"$$$")</f>
        <v>$$$</v>
      </c>
      <c r="BQ54" s="88" t="str">
        <f t="shared" si="4"/>
        <v>$$$</v>
      </c>
      <c r="BR54" s="88" t="str">
        <f t="shared" si="5"/>
        <v>$$$</v>
      </c>
      <c r="BS54" s="29" t="e">
        <f t="shared" ref="BS54:CD66" si="136">IF($CI54,IF(BS$7&gt;0,IF(BS$4&gt;$Q54,$BF54+BS$7*(BS$5+$BG54+$BI54),LOOKUP(BS$7,$AH54:$AL54,$AM54:$AQ54)+IF($AG54="Y",SUMPRODUCT($AX54:$BB54-$AW54:$BA54,BS$7-$AR54:$AV54,N(BS$7&gt;$AR54:$AV54)),BS$7*LOOKUP(BS$7,$AR54:$AV54,$AX54:$BB54))+IF($BE54="Y",$BF54,$BC54)+BS$7*IF($BE54="Y",$BG54,$BD54))*100/BS$7,""),NA())</f>
        <v>#N/A</v>
      </c>
      <c r="BT54" s="29" t="e">
        <f t="shared" si="136"/>
        <v>#N/A</v>
      </c>
      <c r="BU54" s="29" t="e">
        <f t="shared" si="136"/>
        <v>#N/A</v>
      </c>
      <c r="BV54" s="29" t="e">
        <f t="shared" si="136"/>
        <v>#N/A</v>
      </c>
      <c r="BW54" s="29" t="e">
        <f t="shared" si="136"/>
        <v>#N/A</v>
      </c>
      <c r="BX54" s="29" t="e">
        <f t="shared" si="136"/>
        <v>#N/A</v>
      </c>
      <c r="BY54" s="29" t="e">
        <f t="shared" si="136"/>
        <v>#N/A</v>
      </c>
      <c r="BZ54" s="29" t="e">
        <f t="shared" si="136"/>
        <v>#N/A</v>
      </c>
      <c r="CA54" s="29" t="e">
        <f t="shared" si="136"/>
        <v>#N/A</v>
      </c>
      <c r="CB54" s="29" t="e">
        <f t="shared" si="136"/>
        <v>#N/A</v>
      </c>
      <c r="CC54" s="29" t="e">
        <f t="shared" si="136"/>
        <v>#N/A</v>
      </c>
      <c r="CD54" s="29" t="e">
        <f t="shared" si="136"/>
        <v>#N/A</v>
      </c>
      <c r="CE54" s="6" t="str">
        <f t="shared" si="7"/>
        <v/>
      </c>
      <c r="CF54" s="27" t="e">
        <f>IF(AND(CI54,NOT(AD54)),LOOKUP(CF$5,{0,750,1500},H54:J54),"")</f>
        <v>#N/A</v>
      </c>
      <c r="CG54" s="6" t="str">
        <f t="shared" si="8"/>
        <v/>
      </c>
      <c r="CH54" t="e">
        <f t="shared" ref="CH54:CH88" si="137">IF(CI54,IF(ISNUMBER(BO54),BO54,100000)+CV54/10000+IF(ISNUMBER(BJ54),BJ54,2)/10000-P54/100000+ROW()/10000000,"")</f>
        <v>#N/A</v>
      </c>
      <c r="CI54" t="e">
        <f t="shared" ref="CI54:CI88" si="138">PRODUCT(CJ54:CQ54)</f>
        <v>#N/A</v>
      </c>
      <c r="CJ54" s="6" t="e">
        <f t="shared" si="11"/>
        <v>#N/A</v>
      </c>
      <c r="CK54" s="6">
        <f t="shared" si="12"/>
        <v>1</v>
      </c>
      <c r="CL54" s="6">
        <f t="shared" si="26"/>
        <v>1</v>
      </c>
      <c r="CM54" s="6">
        <f t="shared" si="13"/>
        <v>1</v>
      </c>
      <c r="CN54" s="6">
        <f t="shared" si="14"/>
        <v>0</v>
      </c>
      <c r="CO54" s="6">
        <f t="shared" si="15"/>
        <v>1</v>
      </c>
      <c r="CP54" s="6">
        <f t="shared" si="16"/>
        <v>1</v>
      </c>
      <c r="CQ54" s="6">
        <f t="shared" ref="CQ54:CQ88" si="139">IF(CQ$5="Any",1,IF(AND(CQ$5="Med",AV54=0,SUM(AN54:AQ54)=0),1,IF(AND(CQ$5="Low",AV54=0,SUM(AN54:AQ54)=0,AM54=0),1,IF(AND(CQ$5="Flat",AV54=0,SUM(AN54:AQ54)=0,AM54=0,IFERROR(NOT(BE54="Y"),0)),1,0))))</f>
        <v>1</v>
      </c>
      <c r="CR54" s="81" t="str">
        <f t="shared" si="17"/>
        <v/>
      </c>
      <c r="CS54">
        <f t="shared" ref="CS54:CS88" si="140">CS$5*(12/(MIN(12,Q54))-1)</f>
        <v>1.6363636363636349</v>
      </c>
      <c r="CT54">
        <f t="shared" si="19"/>
        <v>20</v>
      </c>
      <c r="CU54" t="str">
        <f t="shared" si="29"/>
        <v>rm</v>
      </c>
      <c r="CV54" s="81">
        <f t="shared" ref="CV54:CV88" si="141">CT54*IF(CU54="",1,Q54)</f>
        <v>220</v>
      </c>
      <c r="CW54" s="81">
        <f>(CV54/25)^1.5*(Calculator!$BU$4/10000)*CW$5</f>
        <v>67.405925349736606</v>
      </c>
      <c r="CX54" t="str">
        <f t="shared" ref="CX54:CX88" si="142">"$"&amp;IF(LEFT(CU54,1)="r",CT54&amp;"/"&amp;CU54,CV54)</f>
        <v>$20/rm</v>
      </c>
    </row>
    <row r="55" spans="2:102" x14ac:dyDescent="0.25">
      <c r="B55" s="115" t="s">
        <v>233</v>
      </c>
      <c r="C55" s="13">
        <v>46236.341666666667</v>
      </c>
      <c r="D55">
        <v>34777</v>
      </c>
      <c r="E55" s="54" t="s">
        <v>237</v>
      </c>
      <c r="F55" s="54" t="s">
        <v>386</v>
      </c>
      <c r="G55" s="54" t="s">
        <v>1891</v>
      </c>
      <c r="H55" s="55">
        <v>13.4</v>
      </c>
      <c r="I55" s="55">
        <v>13</v>
      </c>
      <c r="J55" s="55">
        <v>12.8</v>
      </c>
      <c r="K55" s="54"/>
      <c r="L55" s="56" t="b">
        <v>0</v>
      </c>
      <c r="M55" s="56" t="b">
        <v>0</v>
      </c>
      <c r="N55" s="54">
        <v>1</v>
      </c>
      <c r="O55" s="54" t="s">
        <v>228</v>
      </c>
      <c r="P55" s="54">
        <v>29</v>
      </c>
      <c r="Q55" s="54">
        <v>11</v>
      </c>
      <c r="R55" s="54" t="s">
        <v>388</v>
      </c>
      <c r="S55" s="54" t="s">
        <v>407</v>
      </c>
      <c r="T55" s="54" t="s">
        <v>400</v>
      </c>
      <c r="U55" s="54" t="s">
        <v>1873</v>
      </c>
      <c r="V55" s="54" t="s">
        <v>1894</v>
      </c>
      <c r="W55" s="54" t="b">
        <v>0</v>
      </c>
      <c r="X55" s="54"/>
      <c r="Y55" s="57" t="s">
        <v>1895</v>
      </c>
      <c r="Z55" s="54" t="s">
        <v>394</v>
      </c>
      <c r="AA55" s="54"/>
      <c r="AB55" s="54" t="s">
        <v>395</v>
      </c>
      <c r="AC55" s="56" t="b">
        <v>1</v>
      </c>
      <c r="AD55" s="56" t="b">
        <v>0</v>
      </c>
      <c r="AE55" s="54" t="s">
        <v>303</v>
      </c>
      <c r="AF55" s="58">
        <v>46234</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6.4829999999999999E-2</v>
      </c>
      <c r="BC55" s="60">
        <v>4.0599999999999996</v>
      </c>
      <c r="BD55" s="61">
        <v>6.1196E-2</v>
      </c>
      <c r="BE55" s="62" t="s">
        <v>293</v>
      </c>
      <c r="BF55" s="35">
        <f t="shared" si="0"/>
        <v>4.0600000000000005</v>
      </c>
      <c r="BG55" s="35">
        <f t="shared" si="0"/>
        <v>6.0295000000000001E-2</v>
      </c>
      <c r="BH55" s="35" t="str">
        <f t="shared" si="132"/>
        <v>Low</v>
      </c>
      <c r="BI55" s="110">
        <f t="shared" si="133"/>
        <v>0</v>
      </c>
      <c r="BJ55" s="83">
        <f>VLOOKUP($F55,REP_Info!$D$6:$H$250,5,FALSE)</f>
        <v>1.244</v>
      </c>
      <c r="BK55" s="30">
        <f t="shared" si="134"/>
        <v>13.3245</v>
      </c>
      <c r="BL55" s="30">
        <f t="shared" si="134"/>
        <v>12.9185</v>
      </c>
      <c r="BM55" s="30">
        <f t="shared" si="134"/>
        <v>12.7155</v>
      </c>
      <c r="BN55" s="29">
        <f t="shared" si="134"/>
        <v>12.647833333333333</v>
      </c>
      <c r="BO55" s="85" t="str">
        <f t="shared" si="2"/>
        <v>$$$</v>
      </c>
      <c r="BP55" s="88" t="str">
        <f t="shared" si="135"/>
        <v>$$$</v>
      </c>
      <c r="BQ55" s="88" t="str">
        <f t="shared" si="4"/>
        <v>$$$</v>
      </c>
      <c r="BR55" s="88" t="str">
        <f t="shared" si="5"/>
        <v>$$$</v>
      </c>
      <c r="BS55" s="29" t="e">
        <f t="shared" si="136"/>
        <v>#N/A</v>
      </c>
      <c r="BT55" s="29" t="e">
        <f t="shared" si="136"/>
        <v>#N/A</v>
      </c>
      <c r="BU55" s="29" t="e">
        <f t="shared" si="136"/>
        <v>#N/A</v>
      </c>
      <c r="BV55" s="29" t="e">
        <f t="shared" si="136"/>
        <v>#N/A</v>
      </c>
      <c r="BW55" s="29" t="e">
        <f t="shared" si="136"/>
        <v>#N/A</v>
      </c>
      <c r="BX55" s="29" t="e">
        <f t="shared" si="136"/>
        <v>#N/A</v>
      </c>
      <c r="BY55" s="29" t="e">
        <f t="shared" si="136"/>
        <v>#N/A</v>
      </c>
      <c r="BZ55" s="29" t="e">
        <f t="shared" si="136"/>
        <v>#N/A</v>
      </c>
      <c r="CA55" s="29" t="e">
        <f t="shared" si="136"/>
        <v>#N/A</v>
      </c>
      <c r="CB55" s="29" t="e">
        <f t="shared" si="136"/>
        <v>#N/A</v>
      </c>
      <c r="CC55" s="29" t="e">
        <f t="shared" si="136"/>
        <v>#N/A</v>
      </c>
      <c r="CD55" s="29" t="e">
        <f t="shared" si="136"/>
        <v>#N/A</v>
      </c>
      <c r="CE55" s="6" t="str">
        <f t="shared" si="7"/>
        <v/>
      </c>
      <c r="CF55" s="27" t="e">
        <f>IF(AND(CI55,NOT(AD55)),LOOKUP(CF$5,{0,750,1500},H55:J55),"")</f>
        <v>#N/A</v>
      </c>
      <c r="CG55" s="6" t="str">
        <f t="shared" si="8"/>
        <v/>
      </c>
      <c r="CH55" t="e">
        <f t="shared" si="137"/>
        <v>#N/A</v>
      </c>
      <c r="CI55" t="e">
        <f t="shared" si="138"/>
        <v>#N/A</v>
      </c>
      <c r="CJ55" s="6" t="e">
        <f t="shared" si="11"/>
        <v>#N/A</v>
      </c>
      <c r="CK55" s="6">
        <f t="shared" si="12"/>
        <v>1</v>
      </c>
      <c r="CL55" s="6">
        <f t="shared" si="26"/>
        <v>1</v>
      </c>
      <c r="CM55" s="6">
        <f t="shared" si="13"/>
        <v>1</v>
      </c>
      <c r="CN55" s="6">
        <f t="shared" si="14"/>
        <v>0</v>
      </c>
      <c r="CO55" s="6">
        <f t="shared" si="15"/>
        <v>1</v>
      </c>
      <c r="CP55" s="6">
        <f t="shared" si="16"/>
        <v>1</v>
      </c>
      <c r="CQ55" s="6">
        <f t="shared" si="139"/>
        <v>1</v>
      </c>
      <c r="CR55" s="81" t="str">
        <f t="shared" si="17"/>
        <v/>
      </c>
      <c r="CS55">
        <f t="shared" si="140"/>
        <v>1.6363636363636349</v>
      </c>
      <c r="CT55">
        <f t="shared" si="19"/>
        <v>20</v>
      </c>
      <c r="CU55" t="str">
        <f t="shared" si="29"/>
        <v>rm</v>
      </c>
      <c r="CV55" s="81">
        <f t="shared" si="141"/>
        <v>220</v>
      </c>
      <c r="CW55" s="81">
        <f>(CV55/25)^1.5*(Calculator!$BU$4/10000)*CW$5</f>
        <v>67.405925349736606</v>
      </c>
      <c r="CX55" t="str">
        <f t="shared" si="142"/>
        <v>$20/rm</v>
      </c>
    </row>
    <row r="56" spans="2:102" x14ac:dyDescent="0.25">
      <c r="B56" s="115" t="s">
        <v>233</v>
      </c>
      <c r="C56" s="13">
        <v>46233.236805555556</v>
      </c>
      <c r="D56">
        <v>34369</v>
      </c>
      <c r="E56" s="54" t="s">
        <v>235</v>
      </c>
      <c r="F56" s="54" t="s">
        <v>409</v>
      </c>
      <c r="G56" s="54" t="s">
        <v>410</v>
      </c>
      <c r="H56" s="55">
        <v>11.200000000000001</v>
      </c>
      <c r="I56" s="55">
        <v>10.7</v>
      </c>
      <c r="J56" s="55">
        <v>10.5</v>
      </c>
      <c r="K56" s="54"/>
      <c r="L56" s="56" t="b">
        <v>0</v>
      </c>
      <c r="M56" s="56" t="b">
        <v>0</v>
      </c>
      <c r="N56" s="54">
        <v>1</v>
      </c>
      <c r="O56" s="54" t="s">
        <v>228</v>
      </c>
      <c r="P56" s="54">
        <v>24</v>
      </c>
      <c r="Q56" s="54">
        <v>12</v>
      </c>
      <c r="R56" s="54">
        <v>100</v>
      </c>
      <c r="S56" s="54" t="s">
        <v>411</v>
      </c>
      <c r="T56" s="54" t="s">
        <v>412</v>
      </c>
      <c r="U56" s="54" t="s">
        <v>2108</v>
      </c>
      <c r="V56" s="54" t="s">
        <v>2128</v>
      </c>
      <c r="W56" s="54" t="b">
        <v>0</v>
      </c>
      <c r="X56" s="54"/>
      <c r="Y56" s="57" t="s">
        <v>2129</v>
      </c>
      <c r="Z56" s="54" t="s">
        <v>1618</v>
      </c>
      <c r="AA56" s="54"/>
      <c r="AB56" s="54" t="s">
        <v>413</v>
      </c>
      <c r="AC56" s="56" t="b">
        <v>1</v>
      </c>
      <c r="AD56" s="56" t="b">
        <v>0</v>
      </c>
      <c r="AE56" s="54" t="s">
        <v>303</v>
      </c>
      <c r="AF56" s="58">
        <v>46232</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5.108E-2</v>
      </c>
      <c r="BC56" s="60">
        <v>4.9000000000000004</v>
      </c>
      <c r="BD56" s="61">
        <v>5.1416000000000003E-2</v>
      </c>
      <c r="BE56" s="62" t="s">
        <v>293</v>
      </c>
      <c r="BF56" s="35">
        <f t="shared" si="0"/>
        <v>4.9000000000000004</v>
      </c>
      <c r="BG56" s="35">
        <f t="shared" si="0"/>
        <v>5.1461E-2</v>
      </c>
      <c r="BH56" s="35" t="str">
        <f t="shared" si="132"/>
        <v>Low</v>
      </c>
      <c r="BI56" s="110">
        <f t="shared" si="133"/>
        <v>0</v>
      </c>
      <c r="BJ56" s="83">
        <f>VLOOKUP($F56,REP_Info!$D$6:$H$250,5,FALSE)</f>
        <v>1.9810000000000001</v>
      </c>
      <c r="BK56" s="30">
        <f t="shared" si="134"/>
        <v>11.234099999999998</v>
      </c>
      <c r="BL56" s="30">
        <f t="shared" si="134"/>
        <v>10.7441</v>
      </c>
      <c r="BM56" s="30">
        <f t="shared" si="134"/>
        <v>10.4991</v>
      </c>
      <c r="BN56" s="29">
        <f t="shared" si="134"/>
        <v>10.417433333333335</v>
      </c>
      <c r="BO56" s="85" t="str">
        <f t="shared" si="2"/>
        <v>$$$</v>
      </c>
      <c r="BP56" s="88" t="str">
        <f t="shared" si="135"/>
        <v>$$$</v>
      </c>
      <c r="BQ56" s="88" t="str">
        <f t="shared" si="4"/>
        <v>$$$</v>
      </c>
      <c r="BR56" s="88" t="str">
        <f t="shared" si="5"/>
        <v>$$$</v>
      </c>
      <c r="BS56" s="29" t="e">
        <f t="shared" si="136"/>
        <v>#N/A</v>
      </c>
      <c r="BT56" s="29" t="e">
        <f t="shared" si="136"/>
        <v>#N/A</v>
      </c>
      <c r="BU56" s="29" t="e">
        <f t="shared" si="136"/>
        <v>#N/A</v>
      </c>
      <c r="BV56" s="29" t="e">
        <f t="shared" si="136"/>
        <v>#N/A</v>
      </c>
      <c r="BW56" s="29" t="e">
        <f t="shared" si="136"/>
        <v>#N/A</v>
      </c>
      <c r="BX56" s="29" t="e">
        <f t="shared" si="136"/>
        <v>#N/A</v>
      </c>
      <c r="BY56" s="29" t="e">
        <f t="shared" si="136"/>
        <v>#N/A</v>
      </c>
      <c r="BZ56" s="29" t="e">
        <f t="shared" si="136"/>
        <v>#N/A</v>
      </c>
      <c r="CA56" s="29" t="e">
        <f t="shared" si="136"/>
        <v>#N/A</v>
      </c>
      <c r="CB56" s="29" t="e">
        <f t="shared" si="136"/>
        <v>#N/A</v>
      </c>
      <c r="CC56" s="29" t="e">
        <f t="shared" si="136"/>
        <v>#N/A</v>
      </c>
      <c r="CD56" s="29" t="e">
        <f t="shared" si="136"/>
        <v>#N/A</v>
      </c>
      <c r="CE56" s="6" t="str">
        <f t="shared" si="7"/>
        <v/>
      </c>
      <c r="CF56" s="27" t="e">
        <f>IF(AND(CI56,NOT(AD56)),LOOKUP(CF$5,{0,750,1500},H56:J56),"")</f>
        <v>#N/A</v>
      </c>
      <c r="CG56" s="6" t="str">
        <f t="shared" si="8"/>
        <v/>
      </c>
      <c r="CH56" t="e">
        <f t="shared" si="137"/>
        <v>#N/A</v>
      </c>
      <c r="CI56" t="e">
        <f t="shared" si="138"/>
        <v>#N/A</v>
      </c>
      <c r="CJ56" s="6" t="e">
        <f t="shared" si="11"/>
        <v>#N/A</v>
      </c>
      <c r="CK56" s="6">
        <f t="shared" si="12"/>
        <v>1</v>
      </c>
      <c r="CL56" s="6">
        <f t="shared" si="26"/>
        <v>1</v>
      </c>
      <c r="CM56" s="6">
        <f t="shared" si="13"/>
        <v>1</v>
      </c>
      <c r="CN56" s="6">
        <f t="shared" si="14"/>
        <v>1</v>
      </c>
      <c r="CO56" s="6">
        <f t="shared" si="15"/>
        <v>1</v>
      </c>
      <c r="CP56" s="6">
        <f t="shared" si="16"/>
        <v>1</v>
      </c>
      <c r="CQ56" s="6">
        <f t="shared" si="139"/>
        <v>1</v>
      </c>
      <c r="CR56" s="81" t="str">
        <f t="shared" si="17"/>
        <v/>
      </c>
      <c r="CS56">
        <f t="shared" si="140"/>
        <v>0</v>
      </c>
      <c r="CT56">
        <f t="shared" si="19"/>
        <v>100</v>
      </c>
      <c r="CU56" t="str">
        <f t="shared" si="29"/>
        <v/>
      </c>
      <c r="CV56" s="81">
        <f t="shared" si="141"/>
        <v>100</v>
      </c>
      <c r="CW56" s="81">
        <f>(CV56/25)^1.5*(Calculator!$BU$4/10000)*CW$5</f>
        <v>20.656847999999979</v>
      </c>
      <c r="CX56" t="str">
        <f t="shared" si="142"/>
        <v>$100</v>
      </c>
    </row>
    <row r="57" spans="2:102" x14ac:dyDescent="0.25">
      <c r="B57" s="115" t="s">
        <v>233</v>
      </c>
      <c r="C57" s="13">
        <v>46233.236805555556</v>
      </c>
      <c r="D57">
        <v>34387</v>
      </c>
      <c r="E57" s="54" t="s">
        <v>235</v>
      </c>
      <c r="F57" s="54" t="s">
        <v>409</v>
      </c>
      <c r="G57" s="54" t="s">
        <v>414</v>
      </c>
      <c r="H57" s="55">
        <v>11.799999999999999</v>
      </c>
      <c r="I57" s="55">
        <v>11.3</v>
      </c>
      <c r="J57" s="55">
        <v>11.1</v>
      </c>
      <c r="K57" s="54"/>
      <c r="L57" s="56" t="b">
        <v>0</v>
      </c>
      <c r="M57" s="56" t="b">
        <v>0</v>
      </c>
      <c r="N57" s="54">
        <v>1</v>
      </c>
      <c r="O57" s="54" t="s">
        <v>228</v>
      </c>
      <c r="P57" s="54">
        <v>24</v>
      </c>
      <c r="Q57" s="54">
        <v>24</v>
      </c>
      <c r="R57" s="54">
        <v>175</v>
      </c>
      <c r="S57" s="54" t="s">
        <v>411</v>
      </c>
      <c r="T57" s="54" t="s">
        <v>412</v>
      </c>
      <c r="U57" s="54" t="s">
        <v>2109</v>
      </c>
      <c r="V57" s="54" t="s">
        <v>2130</v>
      </c>
      <c r="W57" s="54" t="b">
        <v>0</v>
      </c>
      <c r="X57" s="54"/>
      <c r="Y57" s="57" t="s">
        <v>2131</v>
      </c>
      <c r="Z57" s="54" t="s">
        <v>415</v>
      </c>
      <c r="AA57" s="54"/>
      <c r="AB57" s="54" t="s">
        <v>413</v>
      </c>
      <c r="AC57" s="56" t="b">
        <v>1</v>
      </c>
      <c r="AD57" s="56" t="b">
        <v>0</v>
      </c>
      <c r="AE57" s="54" t="s">
        <v>303</v>
      </c>
      <c r="AF57" s="58">
        <v>46232</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5.7079999999999999E-2</v>
      </c>
      <c r="BC57" s="60">
        <v>4.9000000000000004</v>
      </c>
      <c r="BD57" s="61">
        <v>5.1416000000000003E-2</v>
      </c>
      <c r="BE57" s="62" t="s">
        <v>293</v>
      </c>
      <c r="BF57" s="35">
        <f t="shared" si="0"/>
        <v>4.9000000000000004</v>
      </c>
      <c r="BG57" s="35">
        <f t="shared" si="0"/>
        <v>5.1461E-2</v>
      </c>
      <c r="BH57" s="35" t="str">
        <f t="shared" si="132"/>
        <v>Low</v>
      </c>
      <c r="BI57" s="110">
        <f t="shared" si="133"/>
        <v>0</v>
      </c>
      <c r="BJ57" s="83">
        <f>VLOOKUP($F57,REP_Info!$D$6:$H$250,5,FALSE)</f>
        <v>1.9810000000000001</v>
      </c>
      <c r="BK57" s="30">
        <f t="shared" si="134"/>
        <v>11.834099999999999</v>
      </c>
      <c r="BL57" s="30">
        <f t="shared" si="134"/>
        <v>11.344100000000001</v>
      </c>
      <c r="BM57" s="30">
        <f t="shared" si="134"/>
        <v>11.0991</v>
      </c>
      <c r="BN57" s="29">
        <f t="shared" si="134"/>
        <v>11.017433333333335</v>
      </c>
      <c r="BO57" s="85" t="str">
        <f t="shared" si="2"/>
        <v>$$$</v>
      </c>
      <c r="BP57" s="88" t="str">
        <f t="shared" si="135"/>
        <v>$$$</v>
      </c>
      <c r="BQ57" s="88" t="str">
        <f t="shared" si="4"/>
        <v>$$$</v>
      </c>
      <c r="BR57" s="88" t="str">
        <f t="shared" si="5"/>
        <v>$$$</v>
      </c>
      <c r="BS57" s="29" t="e">
        <f t="shared" si="136"/>
        <v>#N/A</v>
      </c>
      <c r="BT57" s="29" t="e">
        <f t="shared" si="136"/>
        <v>#N/A</v>
      </c>
      <c r="BU57" s="29" t="e">
        <f t="shared" si="136"/>
        <v>#N/A</v>
      </c>
      <c r="BV57" s="29" t="e">
        <f t="shared" si="136"/>
        <v>#N/A</v>
      </c>
      <c r="BW57" s="29" t="e">
        <f t="shared" si="136"/>
        <v>#N/A</v>
      </c>
      <c r="BX57" s="29" t="e">
        <f t="shared" si="136"/>
        <v>#N/A</v>
      </c>
      <c r="BY57" s="29" t="e">
        <f t="shared" si="136"/>
        <v>#N/A</v>
      </c>
      <c r="BZ57" s="29" t="e">
        <f t="shared" si="136"/>
        <v>#N/A</v>
      </c>
      <c r="CA57" s="29" t="e">
        <f t="shared" si="136"/>
        <v>#N/A</v>
      </c>
      <c r="CB57" s="29" t="e">
        <f t="shared" si="136"/>
        <v>#N/A</v>
      </c>
      <c r="CC57" s="29" t="e">
        <f t="shared" si="136"/>
        <v>#N/A</v>
      </c>
      <c r="CD57" s="29" t="e">
        <f t="shared" si="136"/>
        <v>#N/A</v>
      </c>
      <c r="CE57" s="6" t="str">
        <f t="shared" si="7"/>
        <v/>
      </c>
      <c r="CF57" s="27" t="e">
        <f>IF(AND(CI57,NOT(AD57)),LOOKUP(CF$5,{0,750,1500},H57:J57),"")</f>
        <v>#N/A</v>
      </c>
      <c r="CG57" s="6" t="str">
        <f t="shared" si="8"/>
        <v/>
      </c>
      <c r="CH57" t="e">
        <f t="shared" si="137"/>
        <v>#N/A</v>
      </c>
      <c r="CI57" t="e">
        <f t="shared" si="138"/>
        <v>#N/A</v>
      </c>
      <c r="CJ57" s="6" t="e">
        <f t="shared" si="11"/>
        <v>#N/A</v>
      </c>
      <c r="CK57" s="6">
        <f t="shared" si="12"/>
        <v>1</v>
      </c>
      <c r="CL57" s="6">
        <f t="shared" si="26"/>
        <v>1</v>
      </c>
      <c r="CM57" s="6">
        <f t="shared" si="13"/>
        <v>1</v>
      </c>
      <c r="CN57" s="6">
        <f t="shared" si="14"/>
        <v>1</v>
      </c>
      <c r="CO57" s="6">
        <f t="shared" si="15"/>
        <v>0</v>
      </c>
      <c r="CP57" s="6">
        <f t="shared" si="16"/>
        <v>1</v>
      </c>
      <c r="CQ57" s="6">
        <f t="shared" si="139"/>
        <v>1</v>
      </c>
      <c r="CR57" s="81" t="str">
        <f t="shared" si="17"/>
        <v/>
      </c>
      <c r="CS57">
        <f t="shared" si="140"/>
        <v>0</v>
      </c>
      <c r="CT57">
        <f t="shared" si="19"/>
        <v>175</v>
      </c>
      <c r="CU57" t="str">
        <f t="shared" si="29"/>
        <v/>
      </c>
      <c r="CV57" s="81">
        <f t="shared" si="141"/>
        <v>175</v>
      </c>
      <c r="CW57" s="81">
        <f>(CV57/25)^1.5*(Calculator!$BU$4/10000)*CW$5</f>
        <v>47.821272343654172</v>
      </c>
      <c r="CX57" t="str">
        <f t="shared" si="142"/>
        <v>$175</v>
      </c>
    </row>
    <row r="58" spans="2:102" x14ac:dyDescent="0.25">
      <c r="B58" s="115" t="s">
        <v>233</v>
      </c>
      <c r="C58" s="13">
        <v>46233.236805555556</v>
      </c>
      <c r="D58">
        <v>34388</v>
      </c>
      <c r="E58" s="54" t="s">
        <v>235</v>
      </c>
      <c r="F58" s="54" t="s">
        <v>409</v>
      </c>
      <c r="G58" s="54" t="s">
        <v>416</v>
      </c>
      <c r="H58" s="55">
        <v>12.1</v>
      </c>
      <c r="I58" s="55">
        <v>11.600000000000001</v>
      </c>
      <c r="J58" s="55">
        <v>11.4</v>
      </c>
      <c r="K58" s="54"/>
      <c r="L58" s="56" t="b">
        <v>0</v>
      </c>
      <c r="M58" s="56" t="b">
        <v>0</v>
      </c>
      <c r="N58" s="54">
        <v>1</v>
      </c>
      <c r="O58" s="54" t="s">
        <v>228</v>
      </c>
      <c r="P58" s="54">
        <v>24</v>
      </c>
      <c r="Q58" s="54">
        <v>36</v>
      </c>
      <c r="R58" s="54">
        <v>250</v>
      </c>
      <c r="S58" s="54" t="s">
        <v>411</v>
      </c>
      <c r="T58" s="54" t="s">
        <v>412</v>
      </c>
      <c r="U58" s="54" t="s">
        <v>2110</v>
      </c>
      <c r="V58" s="54" t="s">
        <v>2132</v>
      </c>
      <c r="W58" s="54" t="b">
        <v>0</v>
      </c>
      <c r="X58" s="54"/>
      <c r="Y58" s="57" t="s">
        <v>2133</v>
      </c>
      <c r="Z58" s="54" t="s">
        <v>417</v>
      </c>
      <c r="AA58" s="54"/>
      <c r="AB58" s="54" t="s">
        <v>413</v>
      </c>
      <c r="AC58" s="56" t="b">
        <v>1</v>
      </c>
      <c r="AD58" s="56" t="b">
        <v>0</v>
      </c>
      <c r="AE58" s="54" t="s">
        <v>303</v>
      </c>
      <c r="AF58" s="58">
        <v>46232</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6.0080000000000001E-2</v>
      </c>
      <c r="BC58" s="60">
        <v>4.9000000000000004</v>
      </c>
      <c r="BD58" s="61">
        <v>5.1416000000000003E-2</v>
      </c>
      <c r="BE58" s="62" t="s">
        <v>293</v>
      </c>
      <c r="BF58" s="35">
        <f t="shared" si="0"/>
        <v>4.9000000000000004</v>
      </c>
      <c r="BG58" s="35">
        <f t="shared" si="0"/>
        <v>5.1461E-2</v>
      </c>
      <c r="BH58" s="35" t="str">
        <f t="shared" si="132"/>
        <v>Low</v>
      </c>
      <c r="BI58" s="110">
        <f t="shared" si="133"/>
        <v>0</v>
      </c>
      <c r="BJ58" s="83">
        <f>VLOOKUP($F58,REP_Info!$D$6:$H$250,5,FALSE)</f>
        <v>1.9810000000000001</v>
      </c>
      <c r="BK58" s="30">
        <f t="shared" si="134"/>
        <v>12.134099999999998</v>
      </c>
      <c r="BL58" s="30">
        <f t="shared" si="134"/>
        <v>11.6441</v>
      </c>
      <c r="BM58" s="30">
        <f t="shared" si="134"/>
        <v>11.399100000000001</v>
      </c>
      <c r="BN58" s="29">
        <f t="shared" si="134"/>
        <v>11.317433333333334</v>
      </c>
      <c r="BO58" s="85" t="str">
        <f t="shared" si="2"/>
        <v>$$$</v>
      </c>
      <c r="BP58" s="88" t="str">
        <f t="shared" si="135"/>
        <v>$$$</v>
      </c>
      <c r="BQ58" s="88" t="str">
        <f t="shared" si="4"/>
        <v>$$$</v>
      </c>
      <c r="BR58" s="88" t="str">
        <f t="shared" si="5"/>
        <v>$$$</v>
      </c>
      <c r="BS58" s="29" t="e">
        <f t="shared" si="136"/>
        <v>#N/A</v>
      </c>
      <c r="BT58" s="29" t="e">
        <f t="shared" si="136"/>
        <v>#N/A</v>
      </c>
      <c r="BU58" s="29" t="e">
        <f t="shared" si="136"/>
        <v>#N/A</v>
      </c>
      <c r="BV58" s="29" t="e">
        <f t="shared" si="136"/>
        <v>#N/A</v>
      </c>
      <c r="BW58" s="29" t="e">
        <f t="shared" si="136"/>
        <v>#N/A</v>
      </c>
      <c r="BX58" s="29" t="e">
        <f t="shared" si="136"/>
        <v>#N/A</v>
      </c>
      <c r="BY58" s="29" t="e">
        <f t="shared" si="136"/>
        <v>#N/A</v>
      </c>
      <c r="BZ58" s="29" t="e">
        <f t="shared" si="136"/>
        <v>#N/A</v>
      </c>
      <c r="CA58" s="29" t="e">
        <f t="shared" si="136"/>
        <v>#N/A</v>
      </c>
      <c r="CB58" s="29" t="e">
        <f t="shared" si="136"/>
        <v>#N/A</v>
      </c>
      <c r="CC58" s="29" t="e">
        <f t="shared" si="136"/>
        <v>#N/A</v>
      </c>
      <c r="CD58" s="29" t="e">
        <f t="shared" si="136"/>
        <v>#N/A</v>
      </c>
      <c r="CE58" s="6" t="str">
        <f t="shared" si="7"/>
        <v/>
      </c>
      <c r="CF58" s="27" t="e">
        <f>IF(AND(CI58,NOT(AD58)),LOOKUP(CF$5,{0,750,1500},H58:J58),"")</f>
        <v>#N/A</v>
      </c>
      <c r="CG58" s="6" t="str">
        <f t="shared" si="8"/>
        <v/>
      </c>
      <c r="CH58" t="e">
        <f t="shared" si="137"/>
        <v>#N/A</v>
      </c>
      <c r="CI58" t="e">
        <f t="shared" si="138"/>
        <v>#N/A</v>
      </c>
      <c r="CJ58" s="6" t="e">
        <f t="shared" si="11"/>
        <v>#N/A</v>
      </c>
      <c r="CK58" s="6">
        <f t="shared" si="12"/>
        <v>1</v>
      </c>
      <c r="CL58" s="6">
        <f t="shared" si="26"/>
        <v>1</v>
      </c>
      <c r="CM58" s="6">
        <f t="shared" si="13"/>
        <v>1</v>
      </c>
      <c r="CN58" s="6">
        <f t="shared" si="14"/>
        <v>1</v>
      </c>
      <c r="CO58" s="6">
        <f t="shared" si="15"/>
        <v>0</v>
      </c>
      <c r="CP58" s="6">
        <f t="shared" si="16"/>
        <v>1</v>
      </c>
      <c r="CQ58" s="6">
        <f t="shared" si="139"/>
        <v>1</v>
      </c>
      <c r="CR58" s="81" t="str">
        <f t="shared" si="17"/>
        <v/>
      </c>
      <c r="CS58">
        <f t="shared" si="140"/>
        <v>0</v>
      </c>
      <c r="CT58">
        <f t="shared" si="19"/>
        <v>250</v>
      </c>
      <c r="CU58" t="str">
        <f t="shared" si="29"/>
        <v/>
      </c>
      <c r="CV58" s="81">
        <f t="shared" si="141"/>
        <v>250</v>
      </c>
      <c r="CW58" s="81">
        <f>(CV58/25)^1.5*(Calculator!$BU$4/10000)*CW$5</f>
        <v>81.653361199867305</v>
      </c>
      <c r="CX58" t="str">
        <f t="shared" si="142"/>
        <v>$250</v>
      </c>
    </row>
    <row r="59" spans="2:102" x14ac:dyDescent="0.25">
      <c r="B59" s="115" t="s">
        <v>233</v>
      </c>
      <c r="C59" s="13">
        <v>46237.767361111109</v>
      </c>
      <c r="D59">
        <v>34397</v>
      </c>
      <c r="E59" s="54" t="s">
        <v>237</v>
      </c>
      <c r="F59" s="54" t="s">
        <v>409</v>
      </c>
      <c r="G59" s="54" t="s">
        <v>416</v>
      </c>
      <c r="H59" s="55">
        <v>13.100000000000001</v>
      </c>
      <c r="I59" s="55">
        <v>12.6</v>
      </c>
      <c r="J59" s="55">
        <v>12.4</v>
      </c>
      <c r="K59" s="54"/>
      <c r="L59" s="56" t="b">
        <v>0</v>
      </c>
      <c r="M59" s="56" t="b">
        <v>0</v>
      </c>
      <c r="N59" s="54">
        <v>1</v>
      </c>
      <c r="O59" s="54" t="s">
        <v>228</v>
      </c>
      <c r="P59" s="54">
        <v>24</v>
      </c>
      <c r="Q59" s="54">
        <v>36</v>
      </c>
      <c r="R59" s="54">
        <v>250</v>
      </c>
      <c r="S59" s="54" t="s">
        <v>411</v>
      </c>
      <c r="T59" s="54" t="s">
        <v>412</v>
      </c>
      <c r="U59" s="54" t="s">
        <v>2000</v>
      </c>
      <c r="V59" s="54" t="s">
        <v>2001</v>
      </c>
      <c r="W59" s="54" t="b">
        <v>0</v>
      </c>
      <c r="X59" s="54"/>
      <c r="Y59" s="57" t="s">
        <v>2002</v>
      </c>
      <c r="Z59" s="54" t="s">
        <v>418</v>
      </c>
      <c r="AA59" s="54"/>
      <c r="AB59" s="54" t="s">
        <v>413</v>
      </c>
      <c r="AC59" s="56" t="b">
        <v>1</v>
      </c>
      <c r="AD59" s="56" t="b">
        <v>0</v>
      </c>
      <c r="AE59" s="54" t="s">
        <v>303</v>
      </c>
      <c r="AF59" s="58">
        <v>46226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6.2120000000000002E-2</v>
      </c>
      <c r="BC59" s="60">
        <v>4.0599999999999996</v>
      </c>
      <c r="BD59" s="61">
        <v>6.0295000000000001E-2</v>
      </c>
      <c r="BE59" s="62" t="s">
        <v>293</v>
      </c>
      <c r="BF59" s="35">
        <f t="shared" si="0"/>
        <v>4.0600000000000005</v>
      </c>
      <c r="BG59" s="35">
        <f t="shared" si="0"/>
        <v>6.0295000000000001E-2</v>
      </c>
      <c r="BH59" s="35" t="str">
        <f t="shared" si="132"/>
        <v>Low</v>
      </c>
      <c r="BI59" s="110">
        <f t="shared" si="133"/>
        <v>0</v>
      </c>
      <c r="BJ59" s="83">
        <f>VLOOKUP($F59,REP_Info!$D$6:$H$250,5,FALSE)</f>
        <v>1.9810000000000001</v>
      </c>
      <c r="BK59" s="30">
        <f t="shared" si="134"/>
        <v>13.053500000000001</v>
      </c>
      <c r="BL59" s="30">
        <f t="shared" si="134"/>
        <v>12.647500000000001</v>
      </c>
      <c r="BM59" s="30">
        <f t="shared" si="134"/>
        <v>12.4445</v>
      </c>
      <c r="BN59" s="29">
        <f t="shared" si="134"/>
        <v>12.376833333333334</v>
      </c>
      <c r="BO59" s="85" t="str">
        <f t="shared" si="2"/>
        <v>$$$</v>
      </c>
      <c r="BP59" s="88" t="str">
        <f t="shared" si="135"/>
        <v>$$$</v>
      </c>
      <c r="BQ59" s="88" t="str">
        <f t="shared" si="4"/>
        <v>$$$</v>
      </c>
      <c r="BR59" s="88" t="str">
        <f t="shared" si="5"/>
        <v>$$$</v>
      </c>
      <c r="BS59" s="29" t="e">
        <f t="shared" si="136"/>
        <v>#N/A</v>
      </c>
      <c r="BT59" s="29" t="e">
        <f t="shared" si="136"/>
        <v>#N/A</v>
      </c>
      <c r="BU59" s="29" t="e">
        <f t="shared" si="136"/>
        <v>#N/A</v>
      </c>
      <c r="BV59" s="29" t="e">
        <f t="shared" si="136"/>
        <v>#N/A</v>
      </c>
      <c r="BW59" s="29" t="e">
        <f t="shared" si="136"/>
        <v>#N/A</v>
      </c>
      <c r="BX59" s="29" t="e">
        <f t="shared" si="136"/>
        <v>#N/A</v>
      </c>
      <c r="BY59" s="29" t="e">
        <f t="shared" si="136"/>
        <v>#N/A</v>
      </c>
      <c r="BZ59" s="29" t="e">
        <f t="shared" si="136"/>
        <v>#N/A</v>
      </c>
      <c r="CA59" s="29" t="e">
        <f t="shared" si="136"/>
        <v>#N/A</v>
      </c>
      <c r="CB59" s="29" t="e">
        <f t="shared" si="136"/>
        <v>#N/A</v>
      </c>
      <c r="CC59" s="29" t="e">
        <f t="shared" si="136"/>
        <v>#N/A</v>
      </c>
      <c r="CD59" s="29" t="e">
        <f t="shared" si="136"/>
        <v>#N/A</v>
      </c>
      <c r="CE59" s="6" t="str">
        <f t="shared" si="7"/>
        <v/>
      </c>
      <c r="CF59" s="27" t="e">
        <f>IF(AND(CI59,NOT(AD59)),LOOKUP(CF$5,{0,750,1500},H59:J59),"")</f>
        <v>#N/A</v>
      </c>
      <c r="CG59" s="6" t="str">
        <f t="shared" si="8"/>
        <v/>
      </c>
      <c r="CH59" t="e">
        <f t="shared" si="137"/>
        <v>#N/A</v>
      </c>
      <c r="CI59" t="e">
        <f t="shared" si="138"/>
        <v>#N/A</v>
      </c>
      <c r="CJ59" s="6" t="e">
        <f t="shared" si="11"/>
        <v>#N/A</v>
      </c>
      <c r="CK59" s="6">
        <f t="shared" si="12"/>
        <v>1</v>
      </c>
      <c r="CL59" s="6">
        <f t="shared" si="26"/>
        <v>1</v>
      </c>
      <c r="CM59" s="6">
        <f t="shared" si="13"/>
        <v>1</v>
      </c>
      <c r="CN59" s="6">
        <f t="shared" si="14"/>
        <v>1</v>
      </c>
      <c r="CO59" s="6">
        <f t="shared" si="15"/>
        <v>0</v>
      </c>
      <c r="CP59" s="6">
        <f t="shared" si="16"/>
        <v>1</v>
      </c>
      <c r="CQ59" s="6">
        <f t="shared" si="139"/>
        <v>1</v>
      </c>
      <c r="CR59" s="81" t="str">
        <f t="shared" si="17"/>
        <v/>
      </c>
      <c r="CS59">
        <f t="shared" si="140"/>
        <v>0</v>
      </c>
      <c r="CT59">
        <f t="shared" si="19"/>
        <v>250</v>
      </c>
      <c r="CU59" t="str">
        <f t="shared" si="29"/>
        <v/>
      </c>
      <c r="CV59" s="81">
        <f t="shared" si="141"/>
        <v>250</v>
      </c>
      <c r="CW59" s="81">
        <f>(CV59/25)^1.5*(Calculator!$BU$4/10000)*CW$5</f>
        <v>81.653361199867305</v>
      </c>
      <c r="CX59" t="str">
        <f t="shared" si="142"/>
        <v>$250</v>
      </c>
    </row>
    <row r="60" spans="2:102" x14ac:dyDescent="0.25">
      <c r="B60" s="115" t="s">
        <v>233</v>
      </c>
      <c r="C60" s="13">
        <v>46237.767361111109</v>
      </c>
      <c r="D60">
        <v>34398</v>
      </c>
      <c r="E60" s="54" t="s">
        <v>237</v>
      </c>
      <c r="F60" s="54" t="s">
        <v>409</v>
      </c>
      <c r="G60" s="54" t="s">
        <v>414</v>
      </c>
      <c r="H60" s="55">
        <v>12.8</v>
      </c>
      <c r="I60" s="55">
        <v>12.3</v>
      </c>
      <c r="J60" s="55">
        <v>12.1</v>
      </c>
      <c r="K60" s="54"/>
      <c r="L60" s="56" t="b">
        <v>0</v>
      </c>
      <c r="M60" s="56" t="b">
        <v>0</v>
      </c>
      <c r="N60" s="54">
        <v>1</v>
      </c>
      <c r="O60" s="54" t="s">
        <v>228</v>
      </c>
      <c r="P60" s="54">
        <v>24</v>
      </c>
      <c r="Q60" s="54">
        <v>24</v>
      </c>
      <c r="R60" s="54">
        <v>175</v>
      </c>
      <c r="S60" s="54" t="s">
        <v>411</v>
      </c>
      <c r="T60" s="54" t="s">
        <v>412</v>
      </c>
      <c r="U60" s="54" t="s">
        <v>2017</v>
      </c>
      <c r="V60" s="54" t="s">
        <v>2023</v>
      </c>
      <c r="W60" s="54" t="b">
        <v>0</v>
      </c>
      <c r="X60" s="54"/>
      <c r="Y60" s="57" t="s">
        <v>2024</v>
      </c>
      <c r="Z60" s="54" t="s">
        <v>419</v>
      </c>
      <c r="AA60" s="54"/>
      <c r="AB60" s="54" t="s">
        <v>413</v>
      </c>
      <c r="AC60" s="56" t="b">
        <v>1</v>
      </c>
      <c r="AD60" s="56" t="b">
        <v>0</v>
      </c>
      <c r="AE60" s="54" t="s">
        <v>303</v>
      </c>
      <c r="AF60" s="58">
        <v>46231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5.9119999999999999E-2</v>
      </c>
      <c r="BC60" s="60">
        <v>4.0599999999999996</v>
      </c>
      <c r="BD60" s="61">
        <v>6.0295000000000001E-2</v>
      </c>
      <c r="BE60" s="62" t="s">
        <v>293</v>
      </c>
      <c r="BF60" s="35">
        <f t="shared" si="0"/>
        <v>4.0600000000000005</v>
      </c>
      <c r="BG60" s="35">
        <f t="shared" si="0"/>
        <v>6.0295000000000001E-2</v>
      </c>
      <c r="BH60" s="35" t="str">
        <f t="shared" si="132"/>
        <v>Low</v>
      </c>
      <c r="BI60" s="110">
        <f t="shared" si="133"/>
        <v>0</v>
      </c>
      <c r="BJ60" s="83">
        <f>VLOOKUP($F60,REP_Info!$D$6:$H$250,5,FALSE)</f>
        <v>1.9810000000000001</v>
      </c>
      <c r="BK60" s="30">
        <f t="shared" si="134"/>
        <v>12.753500000000001</v>
      </c>
      <c r="BL60" s="30">
        <f t="shared" si="134"/>
        <v>12.3475</v>
      </c>
      <c r="BM60" s="30">
        <f t="shared" si="134"/>
        <v>12.144500000000001</v>
      </c>
      <c r="BN60" s="29">
        <f t="shared" si="134"/>
        <v>12.076833333333331</v>
      </c>
      <c r="BO60" s="85" t="str">
        <f t="shared" si="2"/>
        <v>$$$</v>
      </c>
      <c r="BP60" s="88" t="str">
        <f t="shared" si="135"/>
        <v>$$$</v>
      </c>
      <c r="BQ60" s="88" t="str">
        <f t="shared" si="4"/>
        <v>$$$</v>
      </c>
      <c r="BR60" s="88" t="str">
        <f t="shared" si="5"/>
        <v>$$$</v>
      </c>
      <c r="BS60" s="29" t="e">
        <f t="shared" si="136"/>
        <v>#N/A</v>
      </c>
      <c r="BT60" s="29" t="e">
        <f t="shared" si="136"/>
        <v>#N/A</v>
      </c>
      <c r="BU60" s="29" t="e">
        <f t="shared" si="136"/>
        <v>#N/A</v>
      </c>
      <c r="BV60" s="29" t="e">
        <f t="shared" si="136"/>
        <v>#N/A</v>
      </c>
      <c r="BW60" s="29" t="e">
        <f t="shared" si="136"/>
        <v>#N/A</v>
      </c>
      <c r="BX60" s="29" t="e">
        <f t="shared" si="136"/>
        <v>#N/A</v>
      </c>
      <c r="BY60" s="29" t="e">
        <f t="shared" si="136"/>
        <v>#N/A</v>
      </c>
      <c r="BZ60" s="29" t="e">
        <f t="shared" si="136"/>
        <v>#N/A</v>
      </c>
      <c r="CA60" s="29" t="e">
        <f t="shared" si="136"/>
        <v>#N/A</v>
      </c>
      <c r="CB60" s="29" t="e">
        <f t="shared" si="136"/>
        <v>#N/A</v>
      </c>
      <c r="CC60" s="29" t="e">
        <f t="shared" si="136"/>
        <v>#N/A</v>
      </c>
      <c r="CD60" s="29" t="e">
        <f t="shared" si="136"/>
        <v>#N/A</v>
      </c>
      <c r="CE60" s="6" t="str">
        <f t="shared" si="7"/>
        <v/>
      </c>
      <c r="CF60" s="27" t="e">
        <f>IF(AND(CI60,NOT(AD60)),LOOKUP(CF$5,{0,750,1500},H60:J60),"")</f>
        <v>#N/A</v>
      </c>
      <c r="CG60" s="6" t="str">
        <f t="shared" si="8"/>
        <v/>
      </c>
      <c r="CH60" t="e">
        <f t="shared" si="137"/>
        <v>#N/A</v>
      </c>
      <c r="CI60" t="e">
        <f t="shared" si="138"/>
        <v>#N/A</v>
      </c>
      <c r="CJ60" s="6" t="e">
        <f t="shared" si="11"/>
        <v>#N/A</v>
      </c>
      <c r="CK60" s="6">
        <f t="shared" si="12"/>
        <v>1</v>
      </c>
      <c r="CL60" s="6">
        <f t="shared" si="26"/>
        <v>1</v>
      </c>
      <c r="CM60" s="6">
        <f t="shared" si="13"/>
        <v>1</v>
      </c>
      <c r="CN60" s="6">
        <f t="shared" si="14"/>
        <v>1</v>
      </c>
      <c r="CO60" s="6">
        <f t="shared" si="15"/>
        <v>0</v>
      </c>
      <c r="CP60" s="6">
        <f t="shared" si="16"/>
        <v>1</v>
      </c>
      <c r="CQ60" s="6">
        <f t="shared" si="139"/>
        <v>1</v>
      </c>
      <c r="CR60" s="81" t="str">
        <f t="shared" si="17"/>
        <v/>
      </c>
      <c r="CS60">
        <f t="shared" si="140"/>
        <v>0</v>
      </c>
      <c r="CT60">
        <f t="shared" si="19"/>
        <v>175</v>
      </c>
      <c r="CU60" t="str">
        <f t="shared" si="29"/>
        <v/>
      </c>
      <c r="CV60" s="81">
        <f t="shared" si="141"/>
        <v>175</v>
      </c>
      <c r="CW60" s="81">
        <f>(CV60/25)^1.5*(Calculator!$BU$4/10000)*CW$5</f>
        <v>47.821272343654172</v>
      </c>
      <c r="CX60" t="str">
        <f t="shared" si="142"/>
        <v>$175</v>
      </c>
    </row>
    <row r="61" spans="2:102" x14ac:dyDescent="0.25">
      <c r="B61" s="115" t="s">
        <v>233</v>
      </c>
      <c r="C61" s="13">
        <v>46237.767361111109</v>
      </c>
      <c r="D61">
        <v>34399</v>
      </c>
      <c r="E61" s="54" t="s">
        <v>237</v>
      </c>
      <c r="F61" s="54" t="s">
        <v>409</v>
      </c>
      <c r="G61" s="54" t="s">
        <v>410</v>
      </c>
      <c r="H61" s="55">
        <v>12</v>
      </c>
      <c r="I61" s="55">
        <v>11.5</v>
      </c>
      <c r="J61" s="55">
        <v>11.3</v>
      </c>
      <c r="K61" s="54"/>
      <c r="L61" s="56" t="b">
        <v>0</v>
      </c>
      <c r="M61" s="56" t="b">
        <v>0</v>
      </c>
      <c r="N61" s="54">
        <v>1</v>
      </c>
      <c r="O61" s="54" t="s">
        <v>228</v>
      </c>
      <c r="P61" s="54">
        <v>24</v>
      </c>
      <c r="Q61" s="54">
        <v>12</v>
      </c>
      <c r="R61" s="54">
        <v>100</v>
      </c>
      <c r="S61" s="54" t="s">
        <v>411</v>
      </c>
      <c r="T61" s="54" t="s">
        <v>412</v>
      </c>
      <c r="U61" s="54" t="s">
        <v>2018</v>
      </c>
      <c r="V61" s="54" t="s">
        <v>2025</v>
      </c>
      <c r="W61" s="54" t="b">
        <v>0</v>
      </c>
      <c r="X61" s="54"/>
      <c r="Y61" s="57" t="s">
        <v>2026</v>
      </c>
      <c r="Z61" s="54" t="s">
        <v>420</v>
      </c>
      <c r="AA61" s="54"/>
      <c r="AB61" s="54" t="s">
        <v>413</v>
      </c>
      <c r="AC61" s="56" t="b">
        <v>1</v>
      </c>
      <c r="AD61" s="56" t="b">
        <v>0</v>
      </c>
      <c r="AE61" s="54" t="s">
        <v>303</v>
      </c>
      <c r="AF61" s="58">
        <v>46231</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5.1119999999999999E-2</v>
      </c>
      <c r="BC61" s="60">
        <v>4.0599999999999996</v>
      </c>
      <c r="BD61" s="61">
        <v>6.0295000000000001E-2</v>
      </c>
      <c r="BE61" s="62" t="s">
        <v>293</v>
      </c>
      <c r="BF61" s="35">
        <f t="shared" si="0"/>
        <v>4.0600000000000005</v>
      </c>
      <c r="BG61" s="35">
        <f t="shared" si="0"/>
        <v>6.0295000000000001E-2</v>
      </c>
      <c r="BH61" s="35" t="str">
        <f t="shared" si="132"/>
        <v>Low</v>
      </c>
      <c r="BI61" s="110">
        <f t="shared" si="133"/>
        <v>0</v>
      </c>
      <c r="BJ61" s="83">
        <f>VLOOKUP($F61,REP_Info!$D$6:$H$250,5,FALSE)</f>
        <v>1.9810000000000001</v>
      </c>
      <c r="BK61" s="30">
        <f t="shared" si="134"/>
        <v>11.9535</v>
      </c>
      <c r="BL61" s="30">
        <f t="shared" si="134"/>
        <v>11.547499999999999</v>
      </c>
      <c r="BM61" s="30">
        <f t="shared" si="134"/>
        <v>11.3445</v>
      </c>
      <c r="BN61" s="29">
        <f t="shared" si="134"/>
        <v>11.276833333333331</v>
      </c>
      <c r="BO61" s="85" t="str">
        <f t="shared" si="2"/>
        <v>$$$</v>
      </c>
      <c r="BP61" s="88" t="str">
        <f t="shared" si="135"/>
        <v>$$$</v>
      </c>
      <c r="BQ61" s="88" t="str">
        <f t="shared" si="4"/>
        <v>$$$</v>
      </c>
      <c r="BR61" s="88" t="str">
        <f t="shared" si="5"/>
        <v>$$$</v>
      </c>
      <c r="BS61" s="29" t="e">
        <f t="shared" si="136"/>
        <v>#N/A</v>
      </c>
      <c r="BT61" s="29" t="e">
        <f t="shared" si="136"/>
        <v>#N/A</v>
      </c>
      <c r="BU61" s="29" t="e">
        <f t="shared" si="136"/>
        <v>#N/A</v>
      </c>
      <c r="BV61" s="29" t="e">
        <f t="shared" si="136"/>
        <v>#N/A</v>
      </c>
      <c r="BW61" s="29" t="e">
        <f t="shared" si="136"/>
        <v>#N/A</v>
      </c>
      <c r="BX61" s="29" t="e">
        <f t="shared" si="136"/>
        <v>#N/A</v>
      </c>
      <c r="BY61" s="29" t="e">
        <f t="shared" si="136"/>
        <v>#N/A</v>
      </c>
      <c r="BZ61" s="29" t="e">
        <f t="shared" si="136"/>
        <v>#N/A</v>
      </c>
      <c r="CA61" s="29" t="e">
        <f t="shared" si="136"/>
        <v>#N/A</v>
      </c>
      <c r="CB61" s="29" t="e">
        <f t="shared" si="136"/>
        <v>#N/A</v>
      </c>
      <c r="CC61" s="29" t="e">
        <f t="shared" si="136"/>
        <v>#N/A</v>
      </c>
      <c r="CD61" s="29" t="e">
        <f t="shared" si="136"/>
        <v>#N/A</v>
      </c>
      <c r="CE61" s="6" t="str">
        <f t="shared" si="7"/>
        <v/>
      </c>
      <c r="CF61" s="27" t="e">
        <f>IF(AND(CI61,NOT(AD61)),LOOKUP(CF$5,{0,750,1500},H61:J61),"")</f>
        <v>#N/A</v>
      </c>
      <c r="CG61" s="6" t="str">
        <f t="shared" si="8"/>
        <v/>
      </c>
      <c r="CH61" t="e">
        <f t="shared" si="137"/>
        <v>#N/A</v>
      </c>
      <c r="CI61" t="e">
        <f t="shared" si="138"/>
        <v>#N/A</v>
      </c>
      <c r="CJ61" s="6" t="e">
        <f t="shared" si="11"/>
        <v>#N/A</v>
      </c>
      <c r="CK61" s="6">
        <f t="shared" si="12"/>
        <v>1</v>
      </c>
      <c r="CL61" s="6">
        <f t="shared" si="26"/>
        <v>1</v>
      </c>
      <c r="CM61" s="6">
        <f t="shared" si="13"/>
        <v>1</v>
      </c>
      <c r="CN61" s="6">
        <f t="shared" si="14"/>
        <v>1</v>
      </c>
      <c r="CO61" s="6">
        <f t="shared" si="15"/>
        <v>1</v>
      </c>
      <c r="CP61" s="6">
        <f t="shared" si="16"/>
        <v>1</v>
      </c>
      <c r="CQ61" s="6">
        <f t="shared" si="139"/>
        <v>1</v>
      </c>
      <c r="CR61" s="81" t="str">
        <f t="shared" si="17"/>
        <v/>
      </c>
      <c r="CS61">
        <f t="shared" si="140"/>
        <v>0</v>
      </c>
      <c r="CT61">
        <f t="shared" si="19"/>
        <v>100</v>
      </c>
      <c r="CU61" t="str">
        <f t="shared" si="29"/>
        <v/>
      </c>
      <c r="CV61" s="81">
        <f t="shared" si="141"/>
        <v>100</v>
      </c>
      <c r="CW61" s="81">
        <f>(CV61/25)^1.5*(Calculator!$BU$4/10000)*CW$5</f>
        <v>20.656847999999979</v>
      </c>
      <c r="CX61" t="str">
        <f t="shared" si="142"/>
        <v>$100</v>
      </c>
    </row>
    <row r="62" spans="2:102" x14ac:dyDescent="0.25">
      <c r="B62" s="115" t="s">
        <v>233</v>
      </c>
      <c r="C62" s="13">
        <v>46237.767361111109</v>
      </c>
      <c r="D62">
        <v>35088</v>
      </c>
      <c r="E62" s="54" t="s">
        <v>237</v>
      </c>
      <c r="F62" s="54" t="s">
        <v>409</v>
      </c>
      <c r="G62" s="54" t="s">
        <v>421</v>
      </c>
      <c r="H62" s="55">
        <v>12.1</v>
      </c>
      <c r="I62" s="55">
        <v>11.600000000000001</v>
      </c>
      <c r="J62" s="55">
        <v>11.4</v>
      </c>
      <c r="K62" s="54"/>
      <c r="L62" s="56" t="b">
        <v>0</v>
      </c>
      <c r="M62" s="56" t="b">
        <v>0</v>
      </c>
      <c r="N62" s="54">
        <v>1</v>
      </c>
      <c r="O62" s="54" t="s">
        <v>228</v>
      </c>
      <c r="P62" s="54">
        <v>100</v>
      </c>
      <c r="Q62" s="54">
        <v>12</v>
      </c>
      <c r="R62" s="54">
        <v>100</v>
      </c>
      <c r="S62" s="54" t="s">
        <v>411</v>
      </c>
      <c r="T62" s="54" t="s">
        <v>412</v>
      </c>
      <c r="U62" s="54" t="s">
        <v>2019</v>
      </c>
      <c r="V62" s="54" t="s">
        <v>2027</v>
      </c>
      <c r="W62" s="54" t="b">
        <v>0</v>
      </c>
      <c r="X62" s="54"/>
      <c r="Y62" s="57" t="s">
        <v>2028</v>
      </c>
      <c r="Z62" s="54" t="s">
        <v>422</v>
      </c>
      <c r="AA62" s="54"/>
      <c r="AB62" s="54" t="s">
        <v>413</v>
      </c>
      <c r="AC62" s="56" t="b">
        <v>1</v>
      </c>
      <c r="AD62" s="56" t="b">
        <v>0</v>
      </c>
      <c r="AE62" s="54" t="s">
        <v>303</v>
      </c>
      <c r="AF62" s="58">
        <v>46231</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5.212E-2</v>
      </c>
      <c r="BC62" s="60">
        <v>4.0599999999999996</v>
      </c>
      <c r="BD62" s="61">
        <v>6.0295000000000001E-2</v>
      </c>
      <c r="BE62" s="62" t="s">
        <v>293</v>
      </c>
      <c r="BF62" s="35">
        <f t="shared" si="0"/>
        <v>4.0600000000000005</v>
      </c>
      <c r="BG62" s="35">
        <f t="shared" si="0"/>
        <v>6.0295000000000001E-2</v>
      </c>
      <c r="BH62" s="35" t="str">
        <f t="shared" si="132"/>
        <v>Low</v>
      </c>
      <c r="BI62" s="110">
        <f t="shared" si="133"/>
        <v>0</v>
      </c>
      <c r="BJ62" s="83">
        <f>VLOOKUP($F62,REP_Info!$D$6:$H$250,5,FALSE)</f>
        <v>1.9810000000000001</v>
      </c>
      <c r="BK62" s="30">
        <f t="shared" si="134"/>
        <v>12.0535</v>
      </c>
      <c r="BL62" s="30">
        <f t="shared" si="134"/>
        <v>11.647500000000001</v>
      </c>
      <c r="BM62" s="30">
        <f t="shared" si="134"/>
        <v>11.4445</v>
      </c>
      <c r="BN62" s="29">
        <f t="shared" si="134"/>
        <v>11.37683333333333</v>
      </c>
      <c r="BO62" s="85" t="str">
        <f t="shared" si="2"/>
        <v>$$$</v>
      </c>
      <c r="BP62" s="88" t="str">
        <f t="shared" si="135"/>
        <v>$$$</v>
      </c>
      <c r="BQ62" s="88" t="str">
        <f t="shared" si="4"/>
        <v>$$$</v>
      </c>
      <c r="BR62" s="88" t="str">
        <f t="shared" si="5"/>
        <v>$$$</v>
      </c>
      <c r="BS62" s="29" t="e">
        <f t="shared" si="136"/>
        <v>#N/A</v>
      </c>
      <c r="BT62" s="29" t="e">
        <f t="shared" si="136"/>
        <v>#N/A</v>
      </c>
      <c r="BU62" s="29" t="e">
        <f t="shared" si="136"/>
        <v>#N/A</v>
      </c>
      <c r="BV62" s="29" t="e">
        <f t="shared" si="136"/>
        <v>#N/A</v>
      </c>
      <c r="BW62" s="29" t="e">
        <f t="shared" si="136"/>
        <v>#N/A</v>
      </c>
      <c r="BX62" s="29" t="e">
        <f t="shared" si="136"/>
        <v>#N/A</v>
      </c>
      <c r="BY62" s="29" t="e">
        <f t="shared" si="136"/>
        <v>#N/A</v>
      </c>
      <c r="BZ62" s="29" t="e">
        <f t="shared" si="136"/>
        <v>#N/A</v>
      </c>
      <c r="CA62" s="29" t="e">
        <f t="shared" si="136"/>
        <v>#N/A</v>
      </c>
      <c r="CB62" s="29" t="e">
        <f t="shared" si="136"/>
        <v>#N/A</v>
      </c>
      <c r="CC62" s="29" t="e">
        <f t="shared" si="136"/>
        <v>#N/A</v>
      </c>
      <c r="CD62" s="29" t="e">
        <f t="shared" si="136"/>
        <v>#N/A</v>
      </c>
      <c r="CE62" s="6" t="str">
        <f t="shared" si="7"/>
        <v/>
      </c>
      <c r="CF62" s="27" t="e">
        <f>IF(AND(CI62,NOT(AD62)),LOOKUP(CF$5,{0,750,1500},H62:J62),"")</f>
        <v>#N/A</v>
      </c>
      <c r="CG62" s="6" t="str">
        <f t="shared" si="8"/>
        <v/>
      </c>
      <c r="CH62" t="e">
        <f t="shared" si="137"/>
        <v>#N/A</v>
      </c>
      <c r="CI62" t="e">
        <f t="shared" si="138"/>
        <v>#N/A</v>
      </c>
      <c r="CJ62" s="6" t="e">
        <f t="shared" si="11"/>
        <v>#N/A</v>
      </c>
      <c r="CK62" s="6">
        <f t="shared" si="12"/>
        <v>1</v>
      </c>
      <c r="CL62" s="6">
        <f t="shared" si="26"/>
        <v>1</v>
      </c>
      <c r="CM62" s="6">
        <f t="shared" si="13"/>
        <v>1</v>
      </c>
      <c r="CN62" s="6">
        <f t="shared" si="14"/>
        <v>1</v>
      </c>
      <c r="CO62" s="6">
        <f t="shared" si="15"/>
        <v>1</v>
      </c>
      <c r="CP62" s="6">
        <f t="shared" si="16"/>
        <v>1</v>
      </c>
      <c r="CQ62" s="6">
        <f t="shared" si="139"/>
        <v>1</v>
      </c>
      <c r="CR62" s="81" t="str">
        <f t="shared" si="17"/>
        <v/>
      </c>
      <c r="CS62">
        <f t="shared" si="140"/>
        <v>0</v>
      </c>
      <c r="CT62">
        <f t="shared" si="19"/>
        <v>100</v>
      </c>
      <c r="CU62" t="str">
        <f t="shared" si="29"/>
        <v/>
      </c>
      <c r="CV62" s="81">
        <f t="shared" si="141"/>
        <v>100</v>
      </c>
      <c r="CW62" s="81">
        <f>(CV62/25)^1.5*(Calculator!$BU$4/10000)*CW$5</f>
        <v>20.656847999999979</v>
      </c>
      <c r="CX62" t="str">
        <f t="shared" si="142"/>
        <v>$100</v>
      </c>
    </row>
    <row r="63" spans="2:102" x14ac:dyDescent="0.25">
      <c r="B63" s="115" t="s">
        <v>233</v>
      </c>
      <c r="C63" s="13">
        <v>46233.236805555556</v>
      </c>
      <c r="D63">
        <v>35090</v>
      </c>
      <c r="E63" s="54" t="s">
        <v>235</v>
      </c>
      <c r="F63" s="54" t="s">
        <v>409</v>
      </c>
      <c r="G63" s="54" t="s">
        <v>421</v>
      </c>
      <c r="H63" s="55">
        <v>11.3</v>
      </c>
      <c r="I63" s="55">
        <v>10.8</v>
      </c>
      <c r="J63" s="55">
        <v>10.6</v>
      </c>
      <c r="K63" s="54"/>
      <c r="L63" s="56" t="b">
        <v>0</v>
      </c>
      <c r="M63" s="56" t="b">
        <v>0</v>
      </c>
      <c r="N63" s="54">
        <v>1</v>
      </c>
      <c r="O63" s="54" t="s">
        <v>228</v>
      </c>
      <c r="P63" s="54">
        <v>100</v>
      </c>
      <c r="Q63" s="54">
        <v>12</v>
      </c>
      <c r="R63" s="54">
        <v>100</v>
      </c>
      <c r="S63" s="54" t="s">
        <v>411</v>
      </c>
      <c r="T63" s="54" t="s">
        <v>412</v>
      </c>
      <c r="U63" s="54" t="s">
        <v>2111</v>
      </c>
      <c r="V63" s="54" t="s">
        <v>2134</v>
      </c>
      <c r="W63" s="54" t="b">
        <v>0</v>
      </c>
      <c r="X63" s="54"/>
      <c r="Y63" s="57" t="s">
        <v>2135</v>
      </c>
      <c r="Z63" s="54" t="s">
        <v>423</v>
      </c>
      <c r="AA63" s="54"/>
      <c r="AB63" s="54" t="s">
        <v>413</v>
      </c>
      <c r="AC63" s="56" t="b">
        <v>1</v>
      </c>
      <c r="AD63" s="56" t="b">
        <v>0</v>
      </c>
      <c r="AE63" s="54" t="s">
        <v>303</v>
      </c>
      <c r="AF63" s="58">
        <v>46232</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5.2080000000000001E-2</v>
      </c>
      <c r="BC63" s="60">
        <v>4.9000000000000004</v>
      </c>
      <c r="BD63" s="61">
        <v>5.1416000000000003E-2</v>
      </c>
      <c r="BE63" s="62" t="s">
        <v>293</v>
      </c>
      <c r="BF63" s="35">
        <f t="shared" ref="BF63:BG88" si="143">IF($E63=$E$4,BF$4,IF($E63=$E$5,BF$5,""))</f>
        <v>4.9000000000000004</v>
      </c>
      <c r="BG63" s="35">
        <f t="shared" si="143"/>
        <v>5.1461E-2</v>
      </c>
      <c r="BH63" s="35" t="str">
        <f t="shared" si="132"/>
        <v>Low</v>
      </c>
      <c r="BI63" s="110">
        <f t="shared" si="133"/>
        <v>0</v>
      </c>
      <c r="BJ63" s="83">
        <f>VLOOKUP($F63,REP_Info!$D$6:$H$250,5,FALSE)</f>
        <v>1.9810000000000001</v>
      </c>
      <c r="BK63" s="30">
        <f t="shared" si="134"/>
        <v>11.334099999999999</v>
      </c>
      <c r="BL63" s="30">
        <f t="shared" si="134"/>
        <v>10.844100000000001</v>
      </c>
      <c r="BM63" s="30">
        <f t="shared" si="134"/>
        <v>10.5991</v>
      </c>
      <c r="BN63" s="29">
        <f t="shared" si="134"/>
        <v>10.517433333333335</v>
      </c>
      <c r="BO63" s="85" t="str">
        <f t="shared" si="2"/>
        <v>$$$</v>
      </c>
      <c r="BP63" s="88" t="str">
        <f t="shared" si="135"/>
        <v>$$$</v>
      </c>
      <c r="BQ63" s="88" t="str">
        <f t="shared" si="4"/>
        <v>$$$</v>
      </c>
      <c r="BR63" s="88" t="str">
        <f t="shared" si="5"/>
        <v>$$$</v>
      </c>
      <c r="BS63" s="29" t="e">
        <f t="shared" si="136"/>
        <v>#N/A</v>
      </c>
      <c r="BT63" s="29" t="e">
        <f t="shared" si="136"/>
        <v>#N/A</v>
      </c>
      <c r="BU63" s="29" t="e">
        <f t="shared" si="136"/>
        <v>#N/A</v>
      </c>
      <c r="BV63" s="29" t="e">
        <f t="shared" si="136"/>
        <v>#N/A</v>
      </c>
      <c r="BW63" s="29" t="e">
        <f t="shared" si="136"/>
        <v>#N/A</v>
      </c>
      <c r="BX63" s="29" t="e">
        <f t="shared" si="136"/>
        <v>#N/A</v>
      </c>
      <c r="BY63" s="29" t="e">
        <f t="shared" si="136"/>
        <v>#N/A</v>
      </c>
      <c r="BZ63" s="29" t="e">
        <f t="shared" si="136"/>
        <v>#N/A</v>
      </c>
      <c r="CA63" s="29" t="e">
        <f t="shared" si="136"/>
        <v>#N/A</v>
      </c>
      <c r="CB63" s="29" t="e">
        <f t="shared" si="136"/>
        <v>#N/A</v>
      </c>
      <c r="CC63" s="29" t="e">
        <f t="shared" si="136"/>
        <v>#N/A</v>
      </c>
      <c r="CD63" s="29" t="e">
        <f t="shared" si="136"/>
        <v>#N/A</v>
      </c>
      <c r="CE63" s="6" t="str">
        <f t="shared" si="7"/>
        <v/>
      </c>
      <c r="CF63" s="27" t="e">
        <f>IF(AND(CI63,NOT(AD63)),LOOKUP(CF$5,{0,750,1500},H63:J63),"")</f>
        <v>#N/A</v>
      </c>
      <c r="CG63" s="6" t="str">
        <f t="shared" si="8"/>
        <v/>
      </c>
      <c r="CH63" t="e">
        <f t="shared" si="137"/>
        <v>#N/A</v>
      </c>
      <c r="CI63" t="e">
        <f t="shared" si="138"/>
        <v>#N/A</v>
      </c>
      <c r="CJ63" s="6" t="e">
        <f t="shared" si="11"/>
        <v>#N/A</v>
      </c>
      <c r="CK63" s="6">
        <f t="shared" si="12"/>
        <v>1</v>
      </c>
      <c r="CL63" s="6">
        <f t="shared" si="26"/>
        <v>1</v>
      </c>
      <c r="CM63" s="6">
        <f t="shared" si="13"/>
        <v>1</v>
      </c>
      <c r="CN63" s="6">
        <f t="shared" si="14"/>
        <v>1</v>
      </c>
      <c r="CO63" s="6">
        <f t="shared" si="15"/>
        <v>1</v>
      </c>
      <c r="CP63" s="6">
        <f t="shared" si="16"/>
        <v>1</v>
      </c>
      <c r="CQ63" s="6">
        <f t="shared" si="139"/>
        <v>1</v>
      </c>
      <c r="CR63" s="81" t="str">
        <f t="shared" si="17"/>
        <v/>
      </c>
      <c r="CS63">
        <f t="shared" si="140"/>
        <v>0</v>
      </c>
      <c r="CT63">
        <f t="shared" si="19"/>
        <v>100</v>
      </c>
      <c r="CU63" t="str">
        <f t="shared" si="29"/>
        <v/>
      </c>
      <c r="CV63" s="81">
        <f t="shared" si="141"/>
        <v>100</v>
      </c>
      <c r="CW63" s="81">
        <f>(CV63/25)^1.5*(Calculator!$BU$4/10000)*CW$5</f>
        <v>20.656847999999979</v>
      </c>
      <c r="CX63" t="str">
        <f t="shared" si="142"/>
        <v>$100</v>
      </c>
    </row>
    <row r="64" spans="2:102" x14ac:dyDescent="0.25">
      <c r="B64" s="115" t="s">
        <v>233</v>
      </c>
      <c r="C64" s="13">
        <v>46237.767361111109</v>
      </c>
      <c r="D64">
        <v>36764</v>
      </c>
      <c r="E64" s="54" t="s">
        <v>237</v>
      </c>
      <c r="F64" s="54" t="s">
        <v>409</v>
      </c>
      <c r="G64" s="54" t="s">
        <v>1896</v>
      </c>
      <c r="H64" s="55">
        <v>11.899999999999999</v>
      </c>
      <c r="I64" s="55">
        <v>11.4</v>
      </c>
      <c r="J64" s="55">
        <v>11.200000000000001</v>
      </c>
      <c r="K64" s="54"/>
      <c r="L64" s="56" t="b">
        <v>0</v>
      </c>
      <c r="M64" s="56" t="b">
        <v>0</v>
      </c>
      <c r="N64" s="54">
        <v>1</v>
      </c>
      <c r="O64" s="54" t="s">
        <v>228</v>
      </c>
      <c r="P64" s="54">
        <v>24</v>
      </c>
      <c r="Q64" s="54">
        <v>11</v>
      </c>
      <c r="R64" s="54">
        <v>100</v>
      </c>
      <c r="S64" s="54" t="s">
        <v>411</v>
      </c>
      <c r="T64" s="54" t="s">
        <v>412</v>
      </c>
      <c r="U64" s="54" t="s">
        <v>2020</v>
      </c>
      <c r="V64" s="54" t="s">
        <v>2029</v>
      </c>
      <c r="W64" s="54" t="b">
        <v>0</v>
      </c>
      <c r="X64" s="54"/>
      <c r="Y64" s="57" t="s">
        <v>2030</v>
      </c>
      <c r="Z64" s="54" t="s">
        <v>1897</v>
      </c>
      <c r="AA64" s="54"/>
      <c r="AB64" s="54" t="s">
        <v>413</v>
      </c>
      <c r="AC64" s="56" t="b">
        <v>1</v>
      </c>
      <c r="AD64" s="56" t="b">
        <v>0</v>
      </c>
      <c r="AE64" s="54" t="s">
        <v>303</v>
      </c>
      <c r="AF64" s="58">
        <v>46231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5.0119999999999998E-2</v>
      </c>
      <c r="BC64" s="60">
        <v>4.0599999999999996</v>
      </c>
      <c r="BD64" s="61">
        <v>6.0295000000000001E-2</v>
      </c>
      <c r="BE64" s="62" t="s">
        <v>293</v>
      </c>
      <c r="BF64" s="35">
        <f t="shared" si="143"/>
        <v>4.0600000000000005</v>
      </c>
      <c r="BG64" s="35">
        <f t="shared" si="143"/>
        <v>6.0295000000000001E-2</v>
      </c>
      <c r="BH64" s="35" t="str">
        <f t="shared" si="132"/>
        <v>Low</v>
      </c>
      <c r="BI64" s="110">
        <f t="shared" si="133"/>
        <v>0</v>
      </c>
      <c r="BJ64" s="83">
        <f>VLOOKUP($F64,REP_Info!$D$6:$H$250,5,FALSE)</f>
        <v>1.9810000000000001</v>
      </c>
      <c r="BK64" s="30">
        <f t="shared" si="134"/>
        <v>11.8535</v>
      </c>
      <c r="BL64" s="30">
        <f t="shared" si="134"/>
        <v>11.4475</v>
      </c>
      <c r="BM64" s="30">
        <f t="shared" si="134"/>
        <v>11.2445</v>
      </c>
      <c r="BN64" s="29">
        <f t="shared" si="134"/>
        <v>11.176833333333331</v>
      </c>
      <c r="BO64" s="85" t="str">
        <f t="shared" si="2"/>
        <v>$$$</v>
      </c>
      <c r="BP64" s="88" t="str">
        <f t="shared" si="135"/>
        <v>$$$</v>
      </c>
      <c r="BQ64" s="88" t="str">
        <f t="shared" si="4"/>
        <v>$$$</v>
      </c>
      <c r="BR64" s="88" t="str">
        <f t="shared" si="5"/>
        <v>$$$</v>
      </c>
      <c r="BS64" s="29" t="e">
        <f t="shared" si="136"/>
        <v>#N/A</v>
      </c>
      <c r="BT64" s="29" t="e">
        <f t="shared" si="136"/>
        <v>#N/A</v>
      </c>
      <c r="BU64" s="29" t="e">
        <f t="shared" si="136"/>
        <v>#N/A</v>
      </c>
      <c r="BV64" s="29" t="e">
        <f t="shared" si="136"/>
        <v>#N/A</v>
      </c>
      <c r="BW64" s="29" t="e">
        <f t="shared" si="136"/>
        <v>#N/A</v>
      </c>
      <c r="BX64" s="29" t="e">
        <f t="shared" si="136"/>
        <v>#N/A</v>
      </c>
      <c r="BY64" s="29" t="e">
        <f t="shared" si="136"/>
        <v>#N/A</v>
      </c>
      <c r="BZ64" s="29" t="e">
        <f t="shared" si="136"/>
        <v>#N/A</v>
      </c>
      <c r="CA64" s="29" t="e">
        <f t="shared" si="136"/>
        <v>#N/A</v>
      </c>
      <c r="CB64" s="29" t="e">
        <f t="shared" si="136"/>
        <v>#N/A</v>
      </c>
      <c r="CC64" s="29" t="e">
        <f t="shared" si="136"/>
        <v>#N/A</v>
      </c>
      <c r="CD64" s="29" t="e">
        <f t="shared" si="136"/>
        <v>#N/A</v>
      </c>
      <c r="CE64" s="6" t="str">
        <f t="shared" si="7"/>
        <v/>
      </c>
      <c r="CF64" s="27" t="e">
        <f>IF(AND(CI64,NOT(AD64)),LOOKUP(CF$5,{0,750,1500},H64:J64),"")</f>
        <v>#N/A</v>
      </c>
      <c r="CG64" s="6" t="str">
        <f t="shared" si="8"/>
        <v/>
      </c>
      <c r="CH64" t="e">
        <f t="shared" si="137"/>
        <v>#N/A</v>
      </c>
      <c r="CI64" t="e">
        <f t="shared" si="138"/>
        <v>#N/A</v>
      </c>
      <c r="CJ64" s="6" t="e">
        <f t="shared" si="11"/>
        <v>#N/A</v>
      </c>
      <c r="CK64" s="6">
        <f t="shared" si="12"/>
        <v>1</v>
      </c>
      <c r="CL64" s="6">
        <f t="shared" si="26"/>
        <v>1</v>
      </c>
      <c r="CM64" s="6">
        <f t="shared" si="13"/>
        <v>1</v>
      </c>
      <c r="CN64" s="6">
        <f t="shared" si="14"/>
        <v>0</v>
      </c>
      <c r="CO64" s="6">
        <f t="shared" si="15"/>
        <v>1</v>
      </c>
      <c r="CP64" s="6">
        <f t="shared" si="16"/>
        <v>1</v>
      </c>
      <c r="CQ64" s="6">
        <f t="shared" si="139"/>
        <v>1</v>
      </c>
      <c r="CR64" s="81" t="str">
        <f t="shared" si="17"/>
        <v/>
      </c>
      <c r="CS64">
        <f t="shared" si="140"/>
        <v>1.6363636363636349</v>
      </c>
      <c r="CT64">
        <f t="shared" si="19"/>
        <v>100</v>
      </c>
      <c r="CU64" t="str">
        <f t="shared" si="29"/>
        <v/>
      </c>
      <c r="CV64" s="81">
        <f t="shared" si="141"/>
        <v>100</v>
      </c>
      <c r="CW64" s="81">
        <f>(CV64/25)^1.5*(Calculator!$BU$4/10000)*CW$5</f>
        <v>20.656847999999979</v>
      </c>
      <c r="CX64" t="str">
        <f t="shared" si="142"/>
        <v>$100</v>
      </c>
    </row>
    <row r="65" spans="2:102" x14ac:dyDescent="0.25">
      <c r="B65" s="115" t="s">
        <v>233</v>
      </c>
      <c r="C65" s="13">
        <v>46237.767361111109</v>
      </c>
      <c r="D65">
        <v>36765</v>
      </c>
      <c r="E65" s="54" t="s">
        <v>235</v>
      </c>
      <c r="F65" s="54" t="s">
        <v>409</v>
      </c>
      <c r="G65" s="54" t="s">
        <v>1896</v>
      </c>
      <c r="H65" s="55">
        <v>11</v>
      </c>
      <c r="I65" s="55">
        <v>10.5</v>
      </c>
      <c r="J65" s="55">
        <v>10.299999999999999</v>
      </c>
      <c r="K65" s="54"/>
      <c r="L65" s="56" t="b">
        <v>0</v>
      </c>
      <c r="M65" s="56" t="b">
        <v>0</v>
      </c>
      <c r="N65" s="54">
        <v>1</v>
      </c>
      <c r="O65" s="54" t="s">
        <v>228</v>
      </c>
      <c r="P65" s="54">
        <v>24</v>
      </c>
      <c r="Q65" s="54">
        <v>11</v>
      </c>
      <c r="R65" s="54">
        <v>100</v>
      </c>
      <c r="S65" s="54" t="s">
        <v>411</v>
      </c>
      <c r="T65" s="54" t="s">
        <v>412</v>
      </c>
      <c r="U65" s="54" t="s">
        <v>2201</v>
      </c>
      <c r="V65" s="54" t="s">
        <v>2214</v>
      </c>
      <c r="W65" s="54" t="b">
        <v>0</v>
      </c>
      <c r="X65" s="54"/>
      <c r="Y65" s="57" t="s">
        <v>2215</v>
      </c>
      <c r="Z65" s="54" t="s">
        <v>1898</v>
      </c>
      <c r="AA65" s="54"/>
      <c r="AB65" s="54" t="s">
        <v>413</v>
      </c>
      <c r="AC65" s="56" t="b">
        <v>1</v>
      </c>
      <c r="AD65" s="56" t="b">
        <v>0</v>
      </c>
      <c r="AE65" s="54" t="s">
        <v>303</v>
      </c>
      <c r="AF65" s="58">
        <v>46237</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4.9079999999999999E-2</v>
      </c>
      <c r="BC65" s="60">
        <v>4.9000000000000004</v>
      </c>
      <c r="BD65" s="61">
        <v>5.1416000000000003E-2</v>
      </c>
      <c r="BE65" s="62" t="s">
        <v>293</v>
      </c>
      <c r="BF65" s="35">
        <f t="shared" si="143"/>
        <v>4.9000000000000004</v>
      </c>
      <c r="BG65" s="35">
        <f t="shared" si="143"/>
        <v>5.1461E-2</v>
      </c>
      <c r="BH65" s="35" t="str">
        <f t="shared" si="132"/>
        <v>Low</v>
      </c>
      <c r="BI65" s="110">
        <f t="shared" si="133"/>
        <v>0</v>
      </c>
      <c r="BJ65" s="83">
        <f>VLOOKUP($F65,REP_Info!$D$6:$H$250,5,FALSE)</f>
        <v>1.9810000000000001</v>
      </c>
      <c r="BK65" s="30">
        <f t="shared" si="134"/>
        <v>11.034099999999999</v>
      </c>
      <c r="BL65" s="30">
        <f t="shared" si="134"/>
        <v>10.5441</v>
      </c>
      <c r="BM65" s="30">
        <f t="shared" si="134"/>
        <v>10.299100000000001</v>
      </c>
      <c r="BN65" s="29">
        <f t="shared" si="134"/>
        <v>10.217433333333334</v>
      </c>
      <c r="BO65" s="85" t="str">
        <f t="shared" si="2"/>
        <v>$$$</v>
      </c>
      <c r="BP65" s="88" t="str">
        <f t="shared" si="135"/>
        <v>$$$</v>
      </c>
      <c r="BQ65" s="88" t="str">
        <f t="shared" si="4"/>
        <v>$$$</v>
      </c>
      <c r="BR65" s="88" t="str">
        <f t="shared" si="5"/>
        <v>$$$</v>
      </c>
      <c r="BS65" s="29" t="e">
        <f t="shared" si="136"/>
        <v>#N/A</v>
      </c>
      <c r="BT65" s="29" t="e">
        <f t="shared" si="136"/>
        <v>#N/A</v>
      </c>
      <c r="BU65" s="29" t="e">
        <f t="shared" si="136"/>
        <v>#N/A</v>
      </c>
      <c r="BV65" s="29" t="e">
        <f t="shared" si="136"/>
        <v>#N/A</v>
      </c>
      <c r="BW65" s="29" t="e">
        <f t="shared" si="136"/>
        <v>#N/A</v>
      </c>
      <c r="BX65" s="29" t="e">
        <f t="shared" si="136"/>
        <v>#N/A</v>
      </c>
      <c r="BY65" s="29" t="e">
        <f t="shared" si="136"/>
        <v>#N/A</v>
      </c>
      <c r="BZ65" s="29" t="e">
        <f t="shared" si="136"/>
        <v>#N/A</v>
      </c>
      <c r="CA65" s="29" t="e">
        <f t="shared" si="136"/>
        <v>#N/A</v>
      </c>
      <c r="CB65" s="29" t="e">
        <f t="shared" si="136"/>
        <v>#N/A</v>
      </c>
      <c r="CC65" s="29" t="e">
        <f t="shared" si="136"/>
        <v>#N/A</v>
      </c>
      <c r="CD65" s="29" t="e">
        <f t="shared" si="136"/>
        <v>#N/A</v>
      </c>
      <c r="CE65" s="6" t="str">
        <f t="shared" si="7"/>
        <v/>
      </c>
      <c r="CF65" s="27" t="e">
        <f>IF(AND(CI65,NOT(AD65)),LOOKUP(CF$5,{0,750,1500},H65:J65),"")</f>
        <v>#N/A</v>
      </c>
      <c r="CG65" s="6" t="str">
        <f t="shared" si="8"/>
        <v/>
      </c>
      <c r="CH65" t="e">
        <f t="shared" si="137"/>
        <v>#N/A</v>
      </c>
      <c r="CI65" t="e">
        <f t="shared" si="138"/>
        <v>#N/A</v>
      </c>
      <c r="CJ65" s="6" t="e">
        <f t="shared" si="11"/>
        <v>#N/A</v>
      </c>
      <c r="CK65" s="6">
        <f t="shared" si="12"/>
        <v>1</v>
      </c>
      <c r="CL65" s="6">
        <f t="shared" si="26"/>
        <v>1</v>
      </c>
      <c r="CM65" s="6">
        <f t="shared" si="13"/>
        <v>1</v>
      </c>
      <c r="CN65" s="6">
        <f t="shared" si="14"/>
        <v>0</v>
      </c>
      <c r="CO65" s="6">
        <f t="shared" si="15"/>
        <v>1</v>
      </c>
      <c r="CP65" s="6">
        <f t="shared" si="16"/>
        <v>1</v>
      </c>
      <c r="CQ65" s="6">
        <f t="shared" si="139"/>
        <v>1</v>
      </c>
      <c r="CR65" s="81" t="str">
        <f t="shared" si="17"/>
        <v/>
      </c>
      <c r="CS65">
        <f t="shared" si="140"/>
        <v>1.6363636363636349</v>
      </c>
      <c r="CT65">
        <f t="shared" si="19"/>
        <v>100</v>
      </c>
      <c r="CU65" t="str">
        <f t="shared" si="29"/>
        <v/>
      </c>
      <c r="CV65" s="81">
        <f t="shared" si="141"/>
        <v>100</v>
      </c>
      <c r="CW65" s="81">
        <f>(CV65/25)^1.5*(Calculator!$BU$4/10000)*CW$5</f>
        <v>20.656847999999979</v>
      </c>
      <c r="CX65" t="str">
        <f t="shared" si="142"/>
        <v>$100</v>
      </c>
    </row>
    <row r="66" spans="2:102" x14ac:dyDescent="0.25">
      <c r="B66" s="115" t="s">
        <v>233</v>
      </c>
      <c r="C66" s="13">
        <v>46218.518055555556</v>
      </c>
      <c r="D66">
        <v>10615</v>
      </c>
      <c r="E66" s="54" t="s">
        <v>235</v>
      </c>
      <c r="F66" s="54" t="s">
        <v>424</v>
      </c>
      <c r="G66" s="54" t="s">
        <v>425</v>
      </c>
      <c r="H66" s="55">
        <v>13.3</v>
      </c>
      <c r="I66" s="55">
        <v>12.8</v>
      </c>
      <c r="J66" s="55">
        <v>12.6</v>
      </c>
      <c r="K66" s="54"/>
      <c r="L66" s="56" t="b">
        <v>0</v>
      </c>
      <c r="M66" s="56" t="b">
        <v>1</v>
      </c>
      <c r="N66" s="54">
        <v>1</v>
      </c>
      <c r="O66" s="54" t="s">
        <v>228</v>
      </c>
      <c r="P66" s="54">
        <v>25</v>
      </c>
      <c r="Q66" s="54">
        <v>24</v>
      </c>
      <c r="R66" s="54">
        <v>250</v>
      </c>
      <c r="S66" s="54" t="s">
        <v>426</v>
      </c>
      <c r="T66" s="54" t="s">
        <v>427</v>
      </c>
      <c r="U66" s="54" t="s">
        <v>428</v>
      </c>
      <c r="V66" s="54" t="s">
        <v>429</v>
      </c>
      <c r="W66" s="54" t="b">
        <v>0</v>
      </c>
      <c r="X66" s="54"/>
      <c r="Y66" s="57" t="s">
        <v>430</v>
      </c>
      <c r="Z66" s="54" t="s">
        <v>431</v>
      </c>
      <c r="AA66" s="54"/>
      <c r="AB66" s="54" t="s">
        <v>432</v>
      </c>
      <c r="AC66" s="56" t="b">
        <v>0</v>
      </c>
      <c r="AD66" s="56" t="b">
        <v>0</v>
      </c>
      <c r="AE66" s="54" t="s">
        <v>303</v>
      </c>
      <c r="AF66" s="58">
        <v>46218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7.2099999999999997E-2</v>
      </c>
      <c r="BC66" s="60">
        <v>4.9000000000000004</v>
      </c>
      <c r="BD66" s="61">
        <v>5.1461E-2</v>
      </c>
      <c r="BE66" s="62" t="e">
        <v>#N/A</v>
      </c>
      <c r="BF66" s="35">
        <f t="shared" si="143"/>
        <v>4.9000000000000004</v>
      </c>
      <c r="BG66" s="35">
        <f t="shared" si="143"/>
        <v>5.1461E-2</v>
      </c>
      <c r="BH66" s="35" t="str">
        <f t="shared" si="132"/>
        <v>?</v>
      </c>
      <c r="BI66" s="110">
        <f t="shared" si="133"/>
        <v>0</v>
      </c>
      <c r="BJ66" s="83">
        <f>VLOOKUP($F66,REP_Info!$D$6:$H$250,5,FALSE)</f>
        <v>1.9E-2</v>
      </c>
      <c r="BK66" s="30" t="e">
        <f t="shared" si="134"/>
        <v>#N/A</v>
      </c>
      <c r="BL66" s="30" t="e">
        <f t="shared" si="134"/>
        <v>#N/A</v>
      </c>
      <c r="BM66" s="30" t="e">
        <f t="shared" si="134"/>
        <v>#N/A</v>
      </c>
      <c r="BN66" s="29" t="e">
        <f t="shared" si="134"/>
        <v>#N/A</v>
      </c>
      <c r="BO66" s="85" t="str">
        <f t="shared" si="2"/>
        <v>$$$</v>
      </c>
      <c r="BP66" s="88" t="str">
        <f t="shared" si="135"/>
        <v>$$$</v>
      </c>
      <c r="BQ66" s="88" t="str">
        <f t="shared" ref="BQ66:BQ88" si="144">IFERROR(SUMPRODUCT($BS$7:$CD$7,$BS66:$CD66,--($BS$4:$CD$4&lt;=$Q66))/SUMPRODUCT(--($BS$4:$CD$4&lt;=$Q66),$BS$7:$CD$7),"$$$")</f>
        <v>$$$</v>
      </c>
      <c r="BR66" s="88" t="str">
        <f t="shared" ref="BR66:BR88" si="145">IFERROR($BQ66-$BF66*100*SUMPRODUCT(--($BS$4:$CD$4&lt;=$Q66))/SUMPRODUCT(--($BS$4:$CD$4&lt;=$Q66),$BS$7:$CD$7)-$BG66*100,"$$$")</f>
        <v>$$$</v>
      </c>
      <c r="BS66" s="29" t="e">
        <f t="shared" si="136"/>
        <v>#N/A</v>
      </c>
      <c r="BT66" s="29" t="e">
        <f t="shared" si="136"/>
        <v>#N/A</v>
      </c>
      <c r="BU66" s="29" t="e">
        <f t="shared" si="136"/>
        <v>#N/A</v>
      </c>
      <c r="BV66" s="29" t="e">
        <f t="shared" ref="BS66:CD87" si="146">IF($CI66,IF(BV$7&gt;0,IF(BV$4&gt;$Q66,$BF66+BV$7*(BV$5+$BG66+$BI66),LOOKUP(BV$7,$AH66:$AL66,$AM66:$AQ66)+IF($AG66="Y",SUMPRODUCT($AX66:$BB66-$AW66:$BA66,BV$7-$AR66:$AV66,N(BV$7&gt;$AR66:$AV66)),BV$7*LOOKUP(BV$7,$AR66:$AV66,$AX66:$BB66))+IF($BE66="Y",$BF66,$BC66)+BV$7*IF($BE66="Y",$BG66,$BD66))*100/BV$7,""),NA())</f>
        <v>#N/A</v>
      </c>
      <c r="BW66" s="29" t="e">
        <f t="shared" si="146"/>
        <v>#N/A</v>
      </c>
      <c r="BX66" s="29" t="e">
        <f t="shared" si="146"/>
        <v>#N/A</v>
      </c>
      <c r="BY66" s="29" t="e">
        <f t="shared" si="146"/>
        <v>#N/A</v>
      </c>
      <c r="BZ66" s="29" t="e">
        <f t="shared" si="146"/>
        <v>#N/A</v>
      </c>
      <c r="CA66" s="29" t="e">
        <f t="shared" si="146"/>
        <v>#N/A</v>
      </c>
      <c r="CB66" s="29" t="e">
        <f t="shared" si="146"/>
        <v>#N/A</v>
      </c>
      <c r="CC66" s="29" t="e">
        <f t="shared" si="146"/>
        <v>#N/A</v>
      </c>
      <c r="CD66" s="29" t="e">
        <f t="shared" si="146"/>
        <v>#N/A</v>
      </c>
      <c r="CE66" s="6" t="str">
        <f t="shared" si="7"/>
        <v/>
      </c>
      <c r="CF66" s="27" t="e">
        <f>IF(AND(CI66,NOT(AD66)),LOOKUP(CF$5,{0,750,1500},H66:J66),"")</f>
        <v>#N/A</v>
      </c>
      <c r="CG66" s="6" t="str">
        <f t="shared" si="8"/>
        <v/>
      </c>
      <c r="CH66" t="e">
        <f t="shared" si="137"/>
        <v>#N/A</v>
      </c>
      <c r="CI66" t="e">
        <f t="shared" si="138"/>
        <v>#N/A</v>
      </c>
      <c r="CJ66" s="6" t="e">
        <f t="shared" si="11"/>
        <v>#N/A</v>
      </c>
      <c r="CK66" s="6">
        <f t="shared" si="12"/>
        <v>1</v>
      </c>
      <c r="CL66" s="6">
        <f t="shared" si="26"/>
        <v>1</v>
      </c>
      <c r="CM66" s="6">
        <f t="shared" si="13"/>
        <v>1</v>
      </c>
      <c r="CN66" s="6">
        <f t="shared" si="14"/>
        <v>1</v>
      </c>
      <c r="CO66" s="6">
        <f t="shared" si="15"/>
        <v>0</v>
      </c>
      <c r="CP66" s="6">
        <f t="shared" si="16"/>
        <v>1</v>
      </c>
      <c r="CQ66" s="6">
        <f t="shared" si="139"/>
        <v>1</v>
      </c>
      <c r="CR66" s="81" t="str">
        <f t="shared" si="17"/>
        <v/>
      </c>
      <c r="CS66">
        <f t="shared" si="140"/>
        <v>0</v>
      </c>
      <c r="CT66">
        <f t="shared" si="19"/>
        <v>250</v>
      </c>
      <c r="CU66" t="str">
        <f t="shared" si="29"/>
        <v/>
      </c>
      <c r="CV66" s="81">
        <f t="shared" si="141"/>
        <v>250</v>
      </c>
      <c r="CW66" s="81">
        <f>(CV66/25)^1.5*(Calculator!$BU$4/10000)*CW$5</f>
        <v>81.653361199867305</v>
      </c>
      <c r="CX66" t="str">
        <f t="shared" si="142"/>
        <v>$250</v>
      </c>
    </row>
    <row r="67" spans="2:102" x14ac:dyDescent="0.25">
      <c r="B67" s="115" t="s">
        <v>233</v>
      </c>
      <c r="C67" s="13">
        <v>46226.595138888886</v>
      </c>
      <c r="D67">
        <v>16509</v>
      </c>
      <c r="E67" s="54" t="s">
        <v>235</v>
      </c>
      <c r="F67" s="54" t="s">
        <v>424</v>
      </c>
      <c r="G67" s="54" t="s">
        <v>433</v>
      </c>
      <c r="H67" s="55">
        <v>12.8</v>
      </c>
      <c r="I67" s="55">
        <v>12.3</v>
      </c>
      <c r="J67" s="55">
        <v>12.1</v>
      </c>
      <c r="K67" s="54"/>
      <c r="L67" s="56" t="b">
        <v>0</v>
      </c>
      <c r="M67" s="56" t="b">
        <v>0</v>
      </c>
      <c r="N67" s="54">
        <v>1</v>
      </c>
      <c r="O67" s="54" t="s">
        <v>228</v>
      </c>
      <c r="P67" s="54">
        <v>25</v>
      </c>
      <c r="Q67" s="54">
        <v>12</v>
      </c>
      <c r="R67" s="54">
        <v>150</v>
      </c>
      <c r="S67" s="54" t="s">
        <v>434</v>
      </c>
      <c r="T67" s="54"/>
      <c r="U67" s="54" t="s">
        <v>428</v>
      </c>
      <c r="V67" s="54" t="s">
        <v>429</v>
      </c>
      <c r="W67" s="54" t="b">
        <v>0</v>
      </c>
      <c r="X67" s="54"/>
      <c r="Y67" s="57" t="s">
        <v>435</v>
      </c>
      <c r="Z67" s="54" t="s">
        <v>431</v>
      </c>
      <c r="AA67" s="54"/>
      <c r="AB67" s="54" t="s">
        <v>432</v>
      </c>
      <c r="AC67" s="56" t="b">
        <v>0</v>
      </c>
      <c r="AD67" s="56" t="b">
        <v>0</v>
      </c>
      <c r="AE67" s="54" t="s">
        <v>303</v>
      </c>
      <c r="AF67" s="58">
        <v>46226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6.7000000000000004E-2</v>
      </c>
      <c r="BC67" s="60">
        <v>4.9000000000000004</v>
      </c>
      <c r="BD67" s="61">
        <v>5.1461E-2</v>
      </c>
      <c r="BE67" s="62" t="s">
        <v>293</v>
      </c>
      <c r="BF67" s="35">
        <f t="shared" si="143"/>
        <v>4.9000000000000004</v>
      </c>
      <c r="BG67" s="35">
        <f t="shared" si="143"/>
        <v>5.1461E-2</v>
      </c>
      <c r="BH67" s="35" t="str">
        <f t="shared" si="132"/>
        <v>Low</v>
      </c>
      <c r="BI67" s="110">
        <f t="shared" si="133"/>
        <v>0</v>
      </c>
      <c r="BJ67" s="83">
        <f>VLOOKUP($F67,REP_Info!$D$6:$H$250,5,FALSE)</f>
        <v>1.9E-2</v>
      </c>
      <c r="BK67" s="30">
        <f t="shared" si="134"/>
        <v>12.8261</v>
      </c>
      <c r="BL67" s="30">
        <f t="shared" si="134"/>
        <v>12.3361</v>
      </c>
      <c r="BM67" s="30">
        <f t="shared" si="134"/>
        <v>12.091100000000001</v>
      </c>
      <c r="BN67" s="29">
        <f t="shared" si="134"/>
        <v>12.009433333333334</v>
      </c>
      <c r="BO67" s="85" t="str">
        <f t="shared" si="2"/>
        <v>$$$</v>
      </c>
      <c r="BP67" s="88" t="str">
        <f t="shared" si="135"/>
        <v>$$$</v>
      </c>
      <c r="BQ67" s="88" t="str">
        <f t="shared" si="144"/>
        <v>$$$</v>
      </c>
      <c r="BR67" s="88" t="str">
        <f t="shared" si="145"/>
        <v>$$$</v>
      </c>
      <c r="BS67" s="29" t="e">
        <f t="shared" si="146"/>
        <v>#N/A</v>
      </c>
      <c r="BT67" s="29" t="e">
        <f t="shared" si="146"/>
        <v>#N/A</v>
      </c>
      <c r="BU67" s="29" t="e">
        <f t="shared" si="146"/>
        <v>#N/A</v>
      </c>
      <c r="BV67" s="29" t="e">
        <f t="shared" si="146"/>
        <v>#N/A</v>
      </c>
      <c r="BW67" s="29" t="e">
        <f t="shared" si="146"/>
        <v>#N/A</v>
      </c>
      <c r="BX67" s="29" t="e">
        <f t="shared" si="146"/>
        <v>#N/A</v>
      </c>
      <c r="BY67" s="29" t="e">
        <f t="shared" si="146"/>
        <v>#N/A</v>
      </c>
      <c r="BZ67" s="29" t="e">
        <f t="shared" si="146"/>
        <v>#N/A</v>
      </c>
      <c r="CA67" s="29" t="e">
        <f t="shared" si="146"/>
        <v>#N/A</v>
      </c>
      <c r="CB67" s="29" t="e">
        <f t="shared" si="146"/>
        <v>#N/A</v>
      </c>
      <c r="CC67" s="29" t="e">
        <f t="shared" si="146"/>
        <v>#N/A</v>
      </c>
      <c r="CD67" s="29" t="e">
        <f t="shared" si="146"/>
        <v>#N/A</v>
      </c>
      <c r="CE67" s="6" t="str">
        <f t="shared" si="7"/>
        <v/>
      </c>
      <c r="CF67" s="27" t="e">
        <f>IF(AND(CI67,NOT(AD67)),LOOKUP(CF$5,{0,750,1500},H67:J67),"")</f>
        <v>#N/A</v>
      </c>
      <c r="CG67" s="6" t="str">
        <f t="shared" si="8"/>
        <v/>
      </c>
      <c r="CH67" t="e">
        <f t="shared" si="137"/>
        <v>#N/A</v>
      </c>
      <c r="CI67" t="e">
        <f t="shared" si="138"/>
        <v>#N/A</v>
      </c>
      <c r="CJ67" s="6" t="e">
        <f t="shared" si="11"/>
        <v>#N/A</v>
      </c>
      <c r="CK67" s="6">
        <f t="shared" si="12"/>
        <v>1</v>
      </c>
      <c r="CL67" s="6">
        <f t="shared" si="26"/>
        <v>1</v>
      </c>
      <c r="CM67" s="6">
        <f t="shared" si="13"/>
        <v>1</v>
      </c>
      <c r="CN67" s="6">
        <f t="shared" si="14"/>
        <v>1</v>
      </c>
      <c r="CO67" s="6">
        <f t="shared" si="15"/>
        <v>1</v>
      </c>
      <c r="CP67" s="6">
        <f t="shared" si="16"/>
        <v>1</v>
      </c>
      <c r="CQ67" s="6">
        <f t="shared" si="139"/>
        <v>1</v>
      </c>
      <c r="CR67" s="81" t="str">
        <f t="shared" si="17"/>
        <v/>
      </c>
      <c r="CS67">
        <f t="shared" si="140"/>
        <v>0</v>
      </c>
      <c r="CT67">
        <f t="shared" si="19"/>
        <v>150</v>
      </c>
      <c r="CU67" t="str">
        <f t="shared" si="29"/>
        <v/>
      </c>
      <c r="CV67" s="81">
        <f t="shared" si="141"/>
        <v>150</v>
      </c>
      <c r="CW67" s="81">
        <f>(CV67/25)^1.5*(Calculator!$BU$4/10000)*CW$5</f>
        <v>37.949052970673385</v>
      </c>
      <c r="CX67" t="str">
        <f t="shared" si="142"/>
        <v>$150</v>
      </c>
    </row>
    <row r="68" spans="2:102" x14ac:dyDescent="0.25">
      <c r="B68" s="115" t="s">
        <v>233</v>
      </c>
      <c r="C68" s="13">
        <v>46218.518055555556</v>
      </c>
      <c r="D68">
        <v>16511</v>
      </c>
      <c r="E68" s="54" t="s">
        <v>235</v>
      </c>
      <c r="F68" s="54" t="s">
        <v>424</v>
      </c>
      <c r="G68" s="54" t="s">
        <v>436</v>
      </c>
      <c r="H68" s="55">
        <v>13.200000000000001</v>
      </c>
      <c r="I68" s="55">
        <v>12.7</v>
      </c>
      <c r="J68" s="55">
        <v>12.5</v>
      </c>
      <c r="K68" s="54"/>
      <c r="L68" s="56" t="b">
        <v>0</v>
      </c>
      <c r="M68" s="56" t="b">
        <v>0</v>
      </c>
      <c r="N68" s="54">
        <v>1</v>
      </c>
      <c r="O68" s="54" t="s">
        <v>228</v>
      </c>
      <c r="P68" s="54">
        <v>25</v>
      </c>
      <c r="Q68" s="54">
        <v>24</v>
      </c>
      <c r="R68" s="54">
        <v>250</v>
      </c>
      <c r="S68" s="54" t="s">
        <v>437</v>
      </c>
      <c r="T68" s="54"/>
      <c r="U68" s="54" t="s">
        <v>428</v>
      </c>
      <c r="V68" s="54" t="s">
        <v>429</v>
      </c>
      <c r="W68" s="54" t="b">
        <v>0</v>
      </c>
      <c r="X68" s="54"/>
      <c r="Y68" s="57" t="s">
        <v>438</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7.0999999999999994E-2</v>
      </c>
      <c r="BC68" s="60">
        <v>4.9000000000000004</v>
      </c>
      <c r="BD68" s="61">
        <v>5.1461E-2</v>
      </c>
      <c r="BE68" s="62" t="s">
        <v>293</v>
      </c>
      <c r="BF68" s="35">
        <f t="shared" si="143"/>
        <v>4.9000000000000004</v>
      </c>
      <c r="BG68" s="35">
        <f t="shared" si="143"/>
        <v>5.1461E-2</v>
      </c>
      <c r="BH68" s="35" t="str">
        <f t="shared" si="132"/>
        <v>Low</v>
      </c>
      <c r="BI68" s="110">
        <f t="shared" si="133"/>
        <v>0</v>
      </c>
      <c r="BJ68" s="83">
        <f>VLOOKUP($F68,REP_Info!$D$6:$H$250,5,FALSE)</f>
        <v>1.9E-2</v>
      </c>
      <c r="BK68" s="30">
        <f t="shared" si="134"/>
        <v>13.226100000000001</v>
      </c>
      <c r="BL68" s="30">
        <f t="shared" si="134"/>
        <v>12.7361</v>
      </c>
      <c r="BM68" s="30">
        <f t="shared" si="134"/>
        <v>12.491100000000001</v>
      </c>
      <c r="BN68" s="29">
        <f t="shared" si="134"/>
        <v>12.409433333333334</v>
      </c>
      <c r="BO68" s="85" t="str">
        <f t="shared" si="2"/>
        <v>$$$</v>
      </c>
      <c r="BP68" s="88" t="str">
        <f t="shared" si="135"/>
        <v>$$$</v>
      </c>
      <c r="BQ68" s="88" t="str">
        <f t="shared" si="144"/>
        <v>$$$</v>
      </c>
      <c r="BR68" s="88" t="str">
        <f t="shared" si="145"/>
        <v>$$$</v>
      </c>
      <c r="BS68" s="29" t="e">
        <f t="shared" si="146"/>
        <v>#N/A</v>
      </c>
      <c r="BT68" s="29" t="e">
        <f t="shared" si="146"/>
        <v>#N/A</v>
      </c>
      <c r="BU68" s="29" t="e">
        <f t="shared" si="146"/>
        <v>#N/A</v>
      </c>
      <c r="BV68" s="29" t="e">
        <f t="shared" si="146"/>
        <v>#N/A</v>
      </c>
      <c r="BW68" s="29" t="e">
        <f t="shared" si="146"/>
        <v>#N/A</v>
      </c>
      <c r="BX68" s="29" t="e">
        <f t="shared" si="146"/>
        <v>#N/A</v>
      </c>
      <c r="BY68" s="29" t="e">
        <f t="shared" si="146"/>
        <v>#N/A</v>
      </c>
      <c r="BZ68" s="29" t="e">
        <f t="shared" si="146"/>
        <v>#N/A</v>
      </c>
      <c r="CA68" s="29" t="e">
        <f t="shared" si="146"/>
        <v>#N/A</v>
      </c>
      <c r="CB68" s="29" t="e">
        <f t="shared" si="146"/>
        <v>#N/A</v>
      </c>
      <c r="CC68" s="29" t="e">
        <f t="shared" si="146"/>
        <v>#N/A</v>
      </c>
      <c r="CD68" s="29" t="e">
        <f t="shared" si="146"/>
        <v>#N/A</v>
      </c>
      <c r="CE68" s="6" t="str">
        <f t="shared" si="7"/>
        <v/>
      </c>
      <c r="CF68" s="27" t="e">
        <f>IF(AND(CI68,NOT(AD68)),LOOKUP(CF$5,{0,750,1500},H68:J68),"")</f>
        <v>#N/A</v>
      </c>
      <c r="CG68" s="6" t="str">
        <f t="shared" si="8"/>
        <v/>
      </c>
      <c r="CH68" t="e">
        <f t="shared" si="137"/>
        <v>#N/A</v>
      </c>
      <c r="CI68" t="e">
        <f t="shared" si="138"/>
        <v>#N/A</v>
      </c>
      <c r="CJ68" s="6" t="e">
        <f t="shared" si="11"/>
        <v>#N/A</v>
      </c>
      <c r="CK68" s="6">
        <f t="shared" si="12"/>
        <v>1</v>
      </c>
      <c r="CL68" s="6">
        <f t="shared" si="26"/>
        <v>1</v>
      </c>
      <c r="CM68" s="6">
        <f t="shared" si="13"/>
        <v>1</v>
      </c>
      <c r="CN68" s="6">
        <f t="shared" si="14"/>
        <v>1</v>
      </c>
      <c r="CO68" s="6">
        <f t="shared" si="15"/>
        <v>0</v>
      </c>
      <c r="CP68" s="6">
        <f t="shared" si="16"/>
        <v>1</v>
      </c>
      <c r="CQ68" s="6">
        <f t="shared" si="139"/>
        <v>1</v>
      </c>
      <c r="CR68" s="81" t="str">
        <f t="shared" si="17"/>
        <v/>
      </c>
      <c r="CS68">
        <f t="shared" si="140"/>
        <v>0</v>
      </c>
      <c r="CT68">
        <f t="shared" si="19"/>
        <v>250</v>
      </c>
      <c r="CU68" t="str">
        <f t="shared" si="29"/>
        <v/>
      </c>
      <c r="CV68" s="81">
        <f t="shared" si="141"/>
        <v>250</v>
      </c>
      <c r="CW68" s="81">
        <f>(CV68/25)^1.5*(Calculator!$BU$4/10000)*CW$5</f>
        <v>81.653361199867305</v>
      </c>
      <c r="CX68" t="str">
        <f t="shared" si="142"/>
        <v>$250</v>
      </c>
    </row>
    <row r="69" spans="2:102" x14ac:dyDescent="0.25">
      <c r="B69" s="115" t="s">
        <v>233</v>
      </c>
      <c r="C69" s="13">
        <v>46237.767361111109</v>
      </c>
      <c r="D69">
        <v>16515</v>
      </c>
      <c r="E69" s="54" t="s">
        <v>237</v>
      </c>
      <c r="F69" s="54" t="s">
        <v>424</v>
      </c>
      <c r="G69" s="54" t="s">
        <v>433</v>
      </c>
      <c r="H69" s="55">
        <v>13.3</v>
      </c>
      <c r="I69" s="55">
        <v>12.9</v>
      </c>
      <c r="J69" s="55">
        <v>12.7</v>
      </c>
      <c r="K69" s="54"/>
      <c r="L69" s="56" t="b">
        <v>0</v>
      </c>
      <c r="M69" s="56" t="b">
        <v>0</v>
      </c>
      <c r="N69" s="54">
        <v>1</v>
      </c>
      <c r="O69" s="54" t="s">
        <v>228</v>
      </c>
      <c r="P69" s="54">
        <v>25</v>
      </c>
      <c r="Q69" s="54">
        <v>12</v>
      </c>
      <c r="R69" s="54">
        <v>150</v>
      </c>
      <c r="S69" s="54" t="s">
        <v>434</v>
      </c>
      <c r="T69" s="54"/>
      <c r="U69" s="54" t="s">
        <v>428</v>
      </c>
      <c r="V69" s="54" t="s">
        <v>429</v>
      </c>
      <c r="W69" s="54" t="b">
        <v>0</v>
      </c>
      <c r="X69" s="54"/>
      <c r="Y69" s="57" t="s">
        <v>439</v>
      </c>
      <c r="Z69" s="54" t="s">
        <v>431</v>
      </c>
      <c r="AA69" s="54"/>
      <c r="AB69" s="54" t="s">
        <v>432</v>
      </c>
      <c r="AC69" s="56" t="b">
        <v>0</v>
      </c>
      <c r="AD69" s="56" t="b">
        <v>0</v>
      </c>
      <c r="AE69" s="54" t="s">
        <v>303</v>
      </c>
      <c r="AF69" s="58">
        <v>46237</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6.5000000000000002E-2</v>
      </c>
      <c r="BC69" s="60">
        <v>4.0599999999999996</v>
      </c>
      <c r="BD69" s="61">
        <v>6.0208999999999999E-2</v>
      </c>
      <c r="BE69" s="62" t="s">
        <v>293</v>
      </c>
      <c r="BF69" s="35">
        <f t="shared" si="143"/>
        <v>4.0600000000000005</v>
      </c>
      <c r="BG69" s="35">
        <f t="shared" si="143"/>
        <v>6.0295000000000001E-2</v>
      </c>
      <c r="BH69" s="35" t="str">
        <f t="shared" si="132"/>
        <v>Low</v>
      </c>
      <c r="BI69" s="110">
        <f t="shared" si="133"/>
        <v>0</v>
      </c>
      <c r="BJ69" s="83">
        <f>VLOOKUP($F69,REP_Info!$D$6:$H$250,5,FALSE)</f>
        <v>1.9E-2</v>
      </c>
      <c r="BK69" s="30">
        <f t="shared" si="134"/>
        <v>13.341500000000002</v>
      </c>
      <c r="BL69" s="30">
        <f t="shared" si="134"/>
        <v>12.935500000000001</v>
      </c>
      <c r="BM69" s="30">
        <f t="shared" si="134"/>
        <v>12.7325</v>
      </c>
      <c r="BN69" s="29">
        <f t="shared" si="134"/>
        <v>12.664833333333334</v>
      </c>
      <c r="BO69" s="85" t="str">
        <f t="shared" si="2"/>
        <v>$$$</v>
      </c>
      <c r="BP69" s="88" t="str">
        <f t="shared" si="135"/>
        <v>$$$</v>
      </c>
      <c r="BQ69" s="88" t="str">
        <f t="shared" si="144"/>
        <v>$$$</v>
      </c>
      <c r="BR69" s="88" t="str">
        <f t="shared" si="145"/>
        <v>$$$</v>
      </c>
      <c r="BS69" s="29" t="e">
        <f t="shared" si="146"/>
        <v>#N/A</v>
      </c>
      <c r="BT69" s="29" t="e">
        <f t="shared" si="146"/>
        <v>#N/A</v>
      </c>
      <c r="BU69" s="29" t="e">
        <f t="shared" si="146"/>
        <v>#N/A</v>
      </c>
      <c r="BV69" s="29" t="e">
        <f t="shared" si="146"/>
        <v>#N/A</v>
      </c>
      <c r="BW69" s="29" t="e">
        <f t="shared" si="146"/>
        <v>#N/A</v>
      </c>
      <c r="BX69" s="29" t="e">
        <f t="shared" si="146"/>
        <v>#N/A</v>
      </c>
      <c r="BY69" s="29" t="e">
        <f t="shared" si="146"/>
        <v>#N/A</v>
      </c>
      <c r="BZ69" s="29" t="e">
        <f t="shared" si="146"/>
        <v>#N/A</v>
      </c>
      <c r="CA69" s="29" t="e">
        <f t="shared" si="146"/>
        <v>#N/A</v>
      </c>
      <c r="CB69" s="29" t="e">
        <f t="shared" si="146"/>
        <v>#N/A</v>
      </c>
      <c r="CC69" s="29" t="e">
        <f t="shared" si="146"/>
        <v>#N/A</v>
      </c>
      <c r="CD69" s="29" t="e">
        <f t="shared" si="146"/>
        <v>#N/A</v>
      </c>
      <c r="CE69" s="6" t="str">
        <f t="shared" si="7"/>
        <v/>
      </c>
      <c r="CF69" s="27" t="e">
        <f>IF(AND(CI69,NOT(AD69)),LOOKUP(CF$5,{0,750,1500},H69:J69),"")</f>
        <v>#N/A</v>
      </c>
      <c r="CG69" s="6" t="str">
        <f t="shared" si="8"/>
        <v/>
      </c>
      <c r="CH69" t="e">
        <f t="shared" si="137"/>
        <v>#N/A</v>
      </c>
      <c r="CI69" t="e">
        <f t="shared" si="138"/>
        <v>#N/A</v>
      </c>
      <c r="CJ69" s="6" t="e">
        <f t="shared" si="11"/>
        <v>#N/A</v>
      </c>
      <c r="CK69" s="6">
        <f t="shared" si="12"/>
        <v>1</v>
      </c>
      <c r="CL69" s="6">
        <f t="shared" si="26"/>
        <v>1</v>
      </c>
      <c r="CM69" s="6">
        <f t="shared" si="13"/>
        <v>1</v>
      </c>
      <c r="CN69" s="6">
        <f t="shared" si="14"/>
        <v>1</v>
      </c>
      <c r="CO69" s="6">
        <f t="shared" si="15"/>
        <v>1</v>
      </c>
      <c r="CP69" s="6">
        <f t="shared" si="16"/>
        <v>1</v>
      </c>
      <c r="CQ69" s="6">
        <f t="shared" si="139"/>
        <v>1</v>
      </c>
      <c r="CR69" s="81" t="str">
        <f t="shared" si="17"/>
        <v/>
      </c>
      <c r="CS69">
        <f t="shared" si="140"/>
        <v>0</v>
      </c>
      <c r="CT69">
        <f t="shared" si="19"/>
        <v>150</v>
      </c>
      <c r="CU69" t="str">
        <f t="shared" si="29"/>
        <v/>
      </c>
      <c r="CV69" s="81">
        <f t="shared" si="141"/>
        <v>150</v>
      </c>
      <c r="CW69" s="81">
        <f>(CV69/25)^1.5*(Calculator!$BU$4/10000)*CW$5</f>
        <v>37.949052970673385</v>
      </c>
      <c r="CX69" t="str">
        <f t="shared" si="142"/>
        <v>$150</v>
      </c>
    </row>
    <row r="70" spans="2:102" x14ac:dyDescent="0.25">
      <c r="B70" s="115" t="s">
        <v>233</v>
      </c>
      <c r="C70" s="13">
        <v>46237.767361111109</v>
      </c>
      <c r="D70">
        <v>16517</v>
      </c>
      <c r="E70" s="54" t="s">
        <v>237</v>
      </c>
      <c r="F70" s="54" t="s">
        <v>424</v>
      </c>
      <c r="G70" s="54" t="s">
        <v>436</v>
      </c>
      <c r="H70" s="55">
        <v>13.8</v>
      </c>
      <c r="I70" s="55">
        <v>13.4</v>
      </c>
      <c r="J70" s="55">
        <v>13.200000000000001</v>
      </c>
      <c r="K70" s="54"/>
      <c r="L70" s="56" t="b">
        <v>0</v>
      </c>
      <c r="M70" s="56" t="b">
        <v>0</v>
      </c>
      <c r="N70" s="54">
        <v>1</v>
      </c>
      <c r="O70" s="54" t="s">
        <v>228</v>
      </c>
      <c r="P70" s="54">
        <v>25</v>
      </c>
      <c r="Q70" s="54">
        <v>24</v>
      </c>
      <c r="R70" s="54">
        <v>250</v>
      </c>
      <c r="S70" s="54" t="s">
        <v>437</v>
      </c>
      <c r="T70" s="54"/>
      <c r="U70" s="54" t="s">
        <v>428</v>
      </c>
      <c r="V70" s="54" t="s">
        <v>429</v>
      </c>
      <c r="W70" s="54" t="b">
        <v>0</v>
      </c>
      <c r="X70" s="54"/>
      <c r="Y70" s="57" t="s">
        <v>440</v>
      </c>
      <c r="Z70" s="54" t="s">
        <v>431</v>
      </c>
      <c r="AA70" s="54"/>
      <c r="AB70" s="54" t="s">
        <v>432</v>
      </c>
      <c r="AC70" s="56" t="b">
        <v>0</v>
      </c>
      <c r="AD70" s="56" t="b">
        <v>0</v>
      </c>
      <c r="AE70" s="54" t="s">
        <v>303</v>
      </c>
      <c r="AF70" s="58">
        <v>46237</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7.0000000000000007E-2</v>
      </c>
      <c r="BC70" s="60">
        <v>4.0599999999999996</v>
      </c>
      <c r="BD70" s="61">
        <v>6.0208999999999999E-2</v>
      </c>
      <c r="BE70" s="62" t="s">
        <v>293</v>
      </c>
      <c r="BF70" s="35">
        <f t="shared" si="143"/>
        <v>4.0600000000000005</v>
      </c>
      <c r="BG70" s="35">
        <f t="shared" si="143"/>
        <v>6.0295000000000001E-2</v>
      </c>
      <c r="BH70" s="35" t="str">
        <f t="shared" si="132"/>
        <v>Low</v>
      </c>
      <c r="BI70" s="110">
        <f t="shared" si="133"/>
        <v>0</v>
      </c>
      <c r="BJ70" s="83">
        <f>VLOOKUP($F70,REP_Info!$D$6:$H$250,5,FALSE)</f>
        <v>1.9E-2</v>
      </c>
      <c r="BK70" s="30">
        <f t="shared" si="134"/>
        <v>13.841500000000002</v>
      </c>
      <c r="BL70" s="30">
        <f t="shared" si="134"/>
        <v>13.435500000000001</v>
      </c>
      <c r="BM70" s="30">
        <f t="shared" si="134"/>
        <v>13.232499999999998</v>
      </c>
      <c r="BN70" s="29">
        <f t="shared" si="134"/>
        <v>13.164833333333336</v>
      </c>
      <c r="BO70" s="85" t="str">
        <f t="shared" si="2"/>
        <v>$$$</v>
      </c>
      <c r="BP70" s="88" t="str">
        <f t="shared" si="135"/>
        <v>$$$</v>
      </c>
      <c r="BQ70" s="88" t="str">
        <f t="shared" si="144"/>
        <v>$$$</v>
      </c>
      <c r="BR70" s="88" t="str">
        <f t="shared" si="145"/>
        <v>$$$</v>
      </c>
      <c r="BS70" s="29" t="e">
        <f t="shared" si="146"/>
        <v>#N/A</v>
      </c>
      <c r="BT70" s="29" t="e">
        <f t="shared" si="146"/>
        <v>#N/A</v>
      </c>
      <c r="BU70" s="29" t="e">
        <f t="shared" si="146"/>
        <v>#N/A</v>
      </c>
      <c r="BV70" s="29" t="e">
        <f t="shared" si="146"/>
        <v>#N/A</v>
      </c>
      <c r="BW70" s="29" t="e">
        <f t="shared" si="146"/>
        <v>#N/A</v>
      </c>
      <c r="BX70" s="29" t="e">
        <f t="shared" si="146"/>
        <v>#N/A</v>
      </c>
      <c r="BY70" s="29" t="e">
        <f t="shared" si="146"/>
        <v>#N/A</v>
      </c>
      <c r="BZ70" s="29" t="e">
        <f t="shared" si="146"/>
        <v>#N/A</v>
      </c>
      <c r="CA70" s="29" t="e">
        <f t="shared" si="146"/>
        <v>#N/A</v>
      </c>
      <c r="CB70" s="29" t="e">
        <f t="shared" si="146"/>
        <v>#N/A</v>
      </c>
      <c r="CC70" s="29" t="e">
        <f t="shared" si="146"/>
        <v>#N/A</v>
      </c>
      <c r="CD70" s="29" t="e">
        <f t="shared" si="146"/>
        <v>#N/A</v>
      </c>
      <c r="CE70" s="6" t="str">
        <f t="shared" si="7"/>
        <v/>
      </c>
      <c r="CF70" s="27" t="e">
        <f>IF(AND(CI70,NOT(AD70)),LOOKUP(CF$5,{0,750,1500},H70:J70),"")</f>
        <v>#N/A</v>
      </c>
      <c r="CG70" s="6" t="str">
        <f t="shared" si="8"/>
        <v/>
      </c>
      <c r="CH70" t="e">
        <f t="shared" si="137"/>
        <v>#N/A</v>
      </c>
      <c r="CI70" t="e">
        <f t="shared" si="138"/>
        <v>#N/A</v>
      </c>
      <c r="CJ70" s="6" t="e">
        <f t="shared" si="11"/>
        <v>#N/A</v>
      </c>
      <c r="CK70" s="6">
        <f t="shared" si="12"/>
        <v>1</v>
      </c>
      <c r="CL70" s="6">
        <f t="shared" si="26"/>
        <v>1</v>
      </c>
      <c r="CM70" s="6">
        <f t="shared" si="13"/>
        <v>1</v>
      </c>
      <c r="CN70" s="6">
        <f t="shared" si="14"/>
        <v>1</v>
      </c>
      <c r="CO70" s="6">
        <f t="shared" si="15"/>
        <v>0</v>
      </c>
      <c r="CP70" s="6">
        <f t="shared" si="16"/>
        <v>1</v>
      </c>
      <c r="CQ70" s="6">
        <f t="shared" si="139"/>
        <v>1</v>
      </c>
      <c r="CR70" s="81" t="str">
        <f t="shared" si="17"/>
        <v/>
      </c>
      <c r="CS70">
        <f t="shared" si="140"/>
        <v>0</v>
      </c>
      <c r="CT70">
        <f t="shared" si="19"/>
        <v>250</v>
      </c>
      <c r="CU70" t="str">
        <f t="shared" si="29"/>
        <v/>
      </c>
      <c r="CV70" s="81">
        <f t="shared" si="141"/>
        <v>250</v>
      </c>
      <c r="CW70" s="81">
        <f>(CV70/25)^1.5*(Calculator!$BU$4/10000)*CW$5</f>
        <v>81.653361199867305</v>
      </c>
      <c r="CX70" t="str">
        <f t="shared" si="142"/>
        <v>$250</v>
      </c>
    </row>
    <row r="71" spans="2:102" x14ac:dyDescent="0.25">
      <c r="B71" s="115" t="s">
        <v>233</v>
      </c>
      <c r="C71" s="13">
        <v>46237.767361111109</v>
      </c>
      <c r="D71">
        <v>21502</v>
      </c>
      <c r="E71" s="54" t="s">
        <v>237</v>
      </c>
      <c r="F71" s="54" t="s">
        <v>441</v>
      </c>
      <c r="G71" s="54" t="s">
        <v>442</v>
      </c>
      <c r="H71" s="55">
        <v>13.200000000000001</v>
      </c>
      <c r="I71" s="55">
        <v>12.7</v>
      </c>
      <c r="J71" s="55">
        <v>12.5</v>
      </c>
      <c r="K71" s="54"/>
      <c r="L71" s="56" t="b">
        <v>0</v>
      </c>
      <c r="M71" s="56" t="b">
        <v>0</v>
      </c>
      <c r="N71" s="54">
        <v>1</v>
      </c>
      <c r="O71" s="54" t="s">
        <v>228</v>
      </c>
      <c r="P71" s="54">
        <v>100</v>
      </c>
      <c r="Q71" s="54">
        <v>36</v>
      </c>
      <c r="R71" s="54">
        <v>99</v>
      </c>
      <c r="S71" s="54" t="s">
        <v>443</v>
      </c>
      <c r="T71" s="54" t="s">
        <v>444</v>
      </c>
      <c r="U71" s="54" t="s">
        <v>2202</v>
      </c>
      <c r="V71" s="54" t="s">
        <v>2216</v>
      </c>
      <c r="W71" s="54" t="b">
        <v>0</v>
      </c>
      <c r="X71" s="54"/>
      <c r="Y71" s="57" t="s">
        <v>2217</v>
      </c>
      <c r="Z71" s="54" t="s">
        <v>445</v>
      </c>
      <c r="AA71" s="54"/>
      <c r="AB71" s="54" t="s">
        <v>446</v>
      </c>
      <c r="AC71" s="56" t="b">
        <v>0</v>
      </c>
      <c r="AD71" s="56" t="b">
        <v>0</v>
      </c>
      <c r="AE71" s="54" t="s">
        <v>303</v>
      </c>
      <c r="AF71" s="58">
        <v>46237</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6.3100000000000003E-2</v>
      </c>
      <c r="BC71" s="60">
        <v>4.0599999999999996</v>
      </c>
      <c r="BD71" s="61">
        <v>6.0295000000000001E-2</v>
      </c>
      <c r="BE71" s="62" t="s">
        <v>293</v>
      </c>
      <c r="BF71" s="35">
        <f t="shared" si="143"/>
        <v>4.0600000000000005</v>
      </c>
      <c r="BG71" s="35">
        <f t="shared" si="143"/>
        <v>6.0295000000000001E-2</v>
      </c>
      <c r="BH71" s="35" t="str">
        <f t="shared" si="132"/>
        <v>Low</v>
      </c>
      <c r="BI71" s="110">
        <f t="shared" si="133"/>
        <v>0</v>
      </c>
      <c r="BJ71" s="83">
        <f>VLOOKUP($F71,REP_Info!$D$6:$H$250,5,FALSE)</f>
        <v>3.9169999999999998</v>
      </c>
      <c r="BK71" s="30">
        <f t="shared" si="134"/>
        <v>13.151499999999999</v>
      </c>
      <c r="BL71" s="30">
        <f t="shared" si="134"/>
        <v>12.7455</v>
      </c>
      <c r="BM71" s="30">
        <f t="shared" si="134"/>
        <v>12.5425</v>
      </c>
      <c r="BN71" s="29">
        <f t="shared" si="134"/>
        <v>12.474833333333333</v>
      </c>
      <c r="BO71" s="85" t="str">
        <f t="shared" ref="BO71:BO88" si="147">IFERROR(SUMPRODUCT($BS$7:$CD$7,$BS71:$CD71)/100,"$$$")</f>
        <v>$$$</v>
      </c>
      <c r="BP71" s="88" t="str">
        <f t="shared" si="135"/>
        <v>$$$</v>
      </c>
      <c r="BQ71" s="88" t="str">
        <f t="shared" si="144"/>
        <v>$$$</v>
      </c>
      <c r="BR71" s="88" t="str">
        <f t="shared" si="145"/>
        <v>$$$</v>
      </c>
      <c r="BS71" s="29" t="e">
        <f t="shared" si="146"/>
        <v>#N/A</v>
      </c>
      <c r="BT71" s="29" t="e">
        <f t="shared" si="146"/>
        <v>#N/A</v>
      </c>
      <c r="BU71" s="29" t="e">
        <f t="shared" si="146"/>
        <v>#N/A</v>
      </c>
      <c r="BV71" s="29" t="e">
        <f t="shared" si="146"/>
        <v>#N/A</v>
      </c>
      <c r="BW71" s="29" t="e">
        <f t="shared" si="146"/>
        <v>#N/A</v>
      </c>
      <c r="BX71" s="29" t="e">
        <f t="shared" si="146"/>
        <v>#N/A</v>
      </c>
      <c r="BY71" s="29" t="e">
        <f t="shared" si="146"/>
        <v>#N/A</v>
      </c>
      <c r="BZ71" s="29" t="e">
        <f t="shared" si="146"/>
        <v>#N/A</v>
      </c>
      <c r="CA71" s="29" t="e">
        <f t="shared" si="146"/>
        <v>#N/A</v>
      </c>
      <c r="CB71" s="29" t="e">
        <f t="shared" si="146"/>
        <v>#N/A</v>
      </c>
      <c r="CC71" s="29" t="e">
        <f t="shared" si="146"/>
        <v>#N/A</v>
      </c>
      <c r="CD71" s="29" t="e">
        <f t="shared" si="146"/>
        <v>#N/A</v>
      </c>
      <c r="CE71" s="6" t="str">
        <f t="shared" si="7"/>
        <v/>
      </c>
      <c r="CF71" s="27" t="e">
        <f>IF(AND(CI71,NOT(AD71)),LOOKUP(CF$5,{0,750,1500},H71:J71),"")</f>
        <v>#N/A</v>
      </c>
      <c r="CG71" s="6" t="str">
        <f t="shared" si="8"/>
        <v/>
      </c>
      <c r="CH71" t="e">
        <f t="shared" si="137"/>
        <v>#N/A</v>
      </c>
      <c r="CI71" t="e">
        <f t="shared" si="138"/>
        <v>#N/A</v>
      </c>
      <c r="CJ71" s="6" t="e">
        <f t="shared" ref="CJ71:CJ88" si="148">IF($E71=CJ$5,1,0)</f>
        <v>#N/A</v>
      </c>
      <c r="CK71" s="6">
        <f t="shared" ref="CK71:CK88" si="149">IF(CK$5="[Any]",1,IF($F71=CK$5,1,0))</f>
        <v>1</v>
      </c>
      <c r="CL71" s="6">
        <f t="shared" ref="CL71:CL88" si="150">IFERROR(--OR(ISBLANK(CL$5),$BJ71="",AND(ISNUMBER($BJ71),$BJ71&lt;=CL$5)),1)</f>
        <v>1</v>
      </c>
      <c r="CM71" s="6">
        <f t="shared" ref="CM71:CM88" si="151">IF($O71="Fixed",1,0)</f>
        <v>1</v>
      </c>
      <c r="CN71" s="6">
        <f t="shared" ref="CN71:CN88" si="152">IF($Q71&gt;=CN$5,1,0)</f>
        <v>1</v>
      </c>
      <c r="CO71" s="6">
        <f t="shared" ref="CO71:CO88" si="153">IF($Q71&lt;=CO$5,1,0)</f>
        <v>0</v>
      </c>
      <c r="CP71" s="6">
        <f t="shared" ref="CP71:CP88" si="154">IF($P71&gt;=CP$5,1,0)</f>
        <v>1</v>
      </c>
      <c r="CQ71" s="6">
        <f t="shared" si="139"/>
        <v>1</v>
      </c>
      <c r="CR71" s="81" t="str">
        <f t="shared" ref="CR71:CR88" si="155">IF(ISNUMBER($CH71),$CH71+$CS71+$CW71,"")</f>
        <v/>
      </c>
      <c r="CS71">
        <f t="shared" si="140"/>
        <v>0</v>
      </c>
      <c r="CT71">
        <f t="shared" si="19"/>
        <v>99</v>
      </c>
      <c r="CU71" t="str">
        <f t="shared" ref="CU71:CU88" si="156">IF(AND(ISERR(FIND("remain",$R71)),ISERR(FIND("left",$R71))),"","r")&amp;IF(ISERR(FIND("mon",$R71)),"","m")</f>
        <v/>
      </c>
      <c r="CV71" s="81">
        <f t="shared" si="141"/>
        <v>99</v>
      </c>
      <c r="CW71" s="81">
        <f>(CV71/25)^1.5*(Calculator!$BU$4/10000)*CW$5</f>
        <v>20.347771207718779</v>
      </c>
      <c r="CX71" t="str">
        <f t="shared" si="142"/>
        <v>$99</v>
      </c>
    </row>
    <row r="72" spans="2:102" x14ac:dyDescent="0.25">
      <c r="B72" s="115" t="s">
        <v>233</v>
      </c>
      <c r="C72" s="13">
        <v>46237.767361111109</v>
      </c>
      <c r="D72">
        <v>21694</v>
      </c>
      <c r="E72" s="54" t="s">
        <v>237</v>
      </c>
      <c r="F72" s="54" t="s">
        <v>441</v>
      </c>
      <c r="G72" s="54" t="s">
        <v>447</v>
      </c>
      <c r="H72" s="55">
        <v>12.8</v>
      </c>
      <c r="I72" s="55">
        <v>12.3</v>
      </c>
      <c r="J72" s="55">
        <v>12.1</v>
      </c>
      <c r="K72" s="54"/>
      <c r="L72" s="56" t="b">
        <v>0</v>
      </c>
      <c r="M72" s="56" t="b">
        <v>0</v>
      </c>
      <c r="N72" s="54">
        <v>1</v>
      </c>
      <c r="O72" s="54" t="s">
        <v>228</v>
      </c>
      <c r="P72" s="54">
        <v>100</v>
      </c>
      <c r="Q72" s="54">
        <v>24</v>
      </c>
      <c r="R72" s="54">
        <v>99</v>
      </c>
      <c r="S72" s="54" t="s">
        <v>443</v>
      </c>
      <c r="T72" s="54" t="s">
        <v>444</v>
      </c>
      <c r="U72" s="54" t="s">
        <v>2203</v>
      </c>
      <c r="V72" s="54" t="s">
        <v>2218</v>
      </c>
      <c r="W72" s="54" t="b">
        <v>0</v>
      </c>
      <c r="X72" s="54"/>
      <c r="Y72" s="57" t="s">
        <v>2219</v>
      </c>
      <c r="Z72" s="54" t="s">
        <v>448</v>
      </c>
      <c r="AA72" s="54"/>
      <c r="AB72" s="54" t="s">
        <v>446</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5.91E-2</v>
      </c>
      <c r="BC72" s="60">
        <v>4.0599999999999996</v>
      </c>
      <c r="BD72" s="61">
        <v>6.0295000000000001E-2</v>
      </c>
      <c r="BE72" s="62" t="s">
        <v>293</v>
      </c>
      <c r="BF72" s="35">
        <f t="shared" si="143"/>
        <v>4.0600000000000005</v>
      </c>
      <c r="BG72" s="35">
        <f t="shared" si="143"/>
        <v>6.0295000000000001E-2</v>
      </c>
      <c r="BH72" s="35" t="str">
        <f t="shared" si="132"/>
        <v>Low</v>
      </c>
      <c r="BI72" s="110">
        <f t="shared" si="133"/>
        <v>0</v>
      </c>
      <c r="BJ72" s="83">
        <f>VLOOKUP($F72,REP_Info!$D$6:$H$250,5,FALSE)</f>
        <v>3.9169999999999998</v>
      </c>
      <c r="BK72" s="30">
        <f t="shared" si="134"/>
        <v>12.7515</v>
      </c>
      <c r="BL72" s="30">
        <f t="shared" si="134"/>
        <v>12.345500000000001</v>
      </c>
      <c r="BM72" s="30">
        <f t="shared" si="134"/>
        <v>12.142500000000002</v>
      </c>
      <c r="BN72" s="29">
        <f t="shared" si="134"/>
        <v>12.074833333333334</v>
      </c>
      <c r="BO72" s="85" t="str">
        <f t="shared" si="147"/>
        <v>$$$</v>
      </c>
      <c r="BP72" s="88" t="str">
        <f t="shared" si="135"/>
        <v>$$$</v>
      </c>
      <c r="BQ72" s="88" t="str">
        <f t="shared" si="144"/>
        <v>$$$</v>
      </c>
      <c r="BR72" s="88" t="str">
        <f t="shared" si="145"/>
        <v>$$$</v>
      </c>
      <c r="BS72" s="29" t="e">
        <f t="shared" si="146"/>
        <v>#N/A</v>
      </c>
      <c r="BT72" s="29" t="e">
        <f t="shared" si="146"/>
        <v>#N/A</v>
      </c>
      <c r="BU72" s="29" t="e">
        <f t="shared" si="146"/>
        <v>#N/A</v>
      </c>
      <c r="BV72" s="29" t="e">
        <f t="shared" si="146"/>
        <v>#N/A</v>
      </c>
      <c r="BW72" s="29" t="e">
        <f t="shared" si="146"/>
        <v>#N/A</v>
      </c>
      <c r="BX72" s="29" t="e">
        <f t="shared" si="146"/>
        <v>#N/A</v>
      </c>
      <c r="BY72" s="29" t="e">
        <f t="shared" si="146"/>
        <v>#N/A</v>
      </c>
      <c r="BZ72" s="29" t="e">
        <f t="shared" si="146"/>
        <v>#N/A</v>
      </c>
      <c r="CA72" s="29" t="e">
        <f t="shared" si="146"/>
        <v>#N/A</v>
      </c>
      <c r="CB72" s="29" t="e">
        <f t="shared" si="146"/>
        <v>#N/A</v>
      </c>
      <c r="CC72" s="29" t="e">
        <f t="shared" si="146"/>
        <v>#N/A</v>
      </c>
      <c r="CD72" s="29" t="e">
        <f t="shared" si="146"/>
        <v>#N/A</v>
      </c>
      <c r="CE72" s="6" t="str">
        <f t="shared" si="7"/>
        <v/>
      </c>
      <c r="CF72" s="27" t="e">
        <f>IF(AND(CI72,NOT(AD72)),LOOKUP(CF$5,{0,750,1500},H72:J72),"")</f>
        <v>#N/A</v>
      </c>
      <c r="CG72" s="6" t="str">
        <f t="shared" si="8"/>
        <v/>
      </c>
      <c r="CH72" t="e">
        <f t="shared" si="137"/>
        <v>#N/A</v>
      </c>
      <c r="CI72" t="e">
        <f t="shared" si="138"/>
        <v>#N/A</v>
      </c>
      <c r="CJ72" s="6" t="e">
        <f t="shared" si="148"/>
        <v>#N/A</v>
      </c>
      <c r="CK72" s="6">
        <f t="shared" si="149"/>
        <v>1</v>
      </c>
      <c r="CL72" s="6">
        <f t="shared" si="150"/>
        <v>1</v>
      </c>
      <c r="CM72" s="6">
        <f t="shared" si="151"/>
        <v>1</v>
      </c>
      <c r="CN72" s="6">
        <f t="shared" si="152"/>
        <v>1</v>
      </c>
      <c r="CO72" s="6">
        <f t="shared" si="153"/>
        <v>0</v>
      </c>
      <c r="CP72" s="6">
        <f t="shared" si="154"/>
        <v>1</v>
      </c>
      <c r="CQ72" s="6">
        <f t="shared" si="139"/>
        <v>1</v>
      </c>
      <c r="CR72" s="81" t="str">
        <f t="shared" si="155"/>
        <v/>
      </c>
      <c r="CS72">
        <f t="shared" si="140"/>
        <v>0</v>
      </c>
      <c r="CT72">
        <f t="shared" si="19"/>
        <v>99</v>
      </c>
      <c r="CU72" t="str">
        <f t="shared" si="156"/>
        <v/>
      </c>
      <c r="CV72" s="81">
        <f t="shared" si="141"/>
        <v>99</v>
      </c>
      <c r="CW72" s="81">
        <f>(CV72/25)^1.5*(Calculator!$BU$4/10000)*CW$5</f>
        <v>20.347771207718779</v>
      </c>
      <c r="CX72" t="str">
        <f t="shared" si="142"/>
        <v>$99</v>
      </c>
    </row>
    <row r="73" spans="2:102" x14ac:dyDescent="0.25">
      <c r="B73" s="115" t="s">
        <v>233</v>
      </c>
      <c r="C73" s="13">
        <v>46205.794444444444</v>
      </c>
      <c r="D73">
        <v>24977</v>
      </c>
      <c r="E73" s="54" t="s">
        <v>235</v>
      </c>
      <c r="F73" s="54" t="s">
        <v>441</v>
      </c>
      <c r="G73" s="54" t="s">
        <v>449</v>
      </c>
      <c r="H73" s="55">
        <v>14.399999999999999</v>
      </c>
      <c r="I73" s="55">
        <v>13.900000000000002</v>
      </c>
      <c r="J73" s="55">
        <v>13.700000000000001</v>
      </c>
      <c r="K73" s="54"/>
      <c r="L73" s="56" t="b">
        <v>0</v>
      </c>
      <c r="M73" s="56" t="b">
        <v>0</v>
      </c>
      <c r="N73" s="54">
        <v>0</v>
      </c>
      <c r="O73" s="54" t="s">
        <v>238</v>
      </c>
      <c r="P73" s="54">
        <v>100</v>
      </c>
      <c r="Q73" s="54">
        <v>0</v>
      </c>
      <c r="R73" s="54">
        <v>0</v>
      </c>
      <c r="S73" s="54" t="s">
        <v>443</v>
      </c>
      <c r="T73" s="54" t="s">
        <v>450</v>
      </c>
      <c r="U73" s="54" t="s">
        <v>1797</v>
      </c>
      <c r="V73" s="54" t="s">
        <v>1798</v>
      </c>
      <c r="W73" s="54" t="b">
        <v>0</v>
      </c>
      <c r="X73" s="54"/>
      <c r="Y73" s="57" t="s">
        <v>1799</v>
      </c>
      <c r="Z73" s="54" t="s">
        <v>451</v>
      </c>
      <c r="AA73" s="54"/>
      <c r="AB73" s="54" t="s">
        <v>446</v>
      </c>
      <c r="AC73" s="56" t="b">
        <v>0</v>
      </c>
      <c r="AD73" s="56" t="b">
        <v>0</v>
      </c>
      <c r="AE73" s="54"/>
      <c r="AF73" s="58"/>
      <c r="AG73" s="62" t="s">
        <v>293</v>
      </c>
      <c r="AH73" s="54"/>
      <c r="AI73" s="54"/>
      <c r="AJ73" s="54"/>
      <c r="AK73" s="54"/>
      <c r="AL73" s="54"/>
      <c r="AM73" s="54">
        <v>0</v>
      </c>
      <c r="AN73" s="54"/>
      <c r="AO73" s="54"/>
      <c r="AP73" s="54"/>
      <c r="AQ73" s="54"/>
      <c r="AR73" s="54"/>
      <c r="AS73" s="54"/>
      <c r="AT73" s="54"/>
      <c r="AU73" s="54"/>
      <c r="AV73" s="54"/>
      <c r="AW73" s="54"/>
      <c r="AX73" s="59"/>
      <c r="AY73" s="59"/>
      <c r="AZ73" s="59"/>
      <c r="BA73" s="59"/>
      <c r="BB73" s="59"/>
      <c r="BC73" s="60"/>
      <c r="BD73" s="61"/>
      <c r="BE73" s="62"/>
      <c r="BF73" s="35">
        <f t="shared" si="143"/>
        <v>4.9000000000000004</v>
      </c>
      <c r="BG73" s="35">
        <f t="shared" si="143"/>
        <v>5.1461E-2</v>
      </c>
      <c r="BH73" s="35" t="str">
        <f t="shared" si="132"/>
        <v>?</v>
      </c>
      <c r="BI73" s="110" t="str">
        <f t="shared" si="133"/>
        <v/>
      </c>
      <c r="BJ73" s="83">
        <f>VLOOKUP($F73,REP_Info!$D$6:$H$250,5,FALSE)</f>
        <v>3.9169999999999998</v>
      </c>
      <c r="BK73" s="30" t="e">
        <f t="shared" si="134"/>
        <v>#N/A</v>
      </c>
      <c r="BL73" s="30" t="e">
        <f t="shared" si="134"/>
        <v>#N/A</v>
      </c>
      <c r="BM73" s="30" t="e">
        <f t="shared" si="134"/>
        <v>#N/A</v>
      </c>
      <c r="BN73" s="29" t="e">
        <f t="shared" si="134"/>
        <v>#N/A</v>
      </c>
      <c r="BO73" s="85" t="str">
        <f t="shared" si="147"/>
        <v>$$$</v>
      </c>
      <c r="BP73" s="88" t="str">
        <f t="shared" si="135"/>
        <v>$$$</v>
      </c>
      <c r="BQ73" s="88" t="str">
        <f t="shared" si="144"/>
        <v>$$$</v>
      </c>
      <c r="BR73" s="88" t="str">
        <f t="shared" si="145"/>
        <v>$$$</v>
      </c>
      <c r="BS73" s="29" t="e">
        <f t="shared" si="146"/>
        <v>#N/A</v>
      </c>
      <c r="BT73" s="29" t="e">
        <f t="shared" si="146"/>
        <v>#N/A</v>
      </c>
      <c r="BU73" s="29" t="e">
        <f t="shared" si="146"/>
        <v>#N/A</v>
      </c>
      <c r="BV73" s="29" t="e">
        <f t="shared" si="146"/>
        <v>#N/A</v>
      </c>
      <c r="BW73" s="29" t="e">
        <f t="shared" si="146"/>
        <v>#N/A</v>
      </c>
      <c r="BX73" s="29" t="e">
        <f t="shared" si="146"/>
        <v>#N/A</v>
      </c>
      <c r="BY73" s="29" t="e">
        <f t="shared" si="146"/>
        <v>#N/A</v>
      </c>
      <c r="BZ73" s="29" t="e">
        <f t="shared" si="146"/>
        <v>#N/A</v>
      </c>
      <c r="CA73" s="29" t="e">
        <f t="shared" si="146"/>
        <v>#N/A</v>
      </c>
      <c r="CB73" s="29" t="e">
        <f t="shared" si="146"/>
        <v>#N/A</v>
      </c>
      <c r="CC73" s="29" t="e">
        <f t="shared" si="146"/>
        <v>#N/A</v>
      </c>
      <c r="CD73" s="29" t="e">
        <f t="shared" si="146"/>
        <v>#N/A</v>
      </c>
      <c r="CE73" s="6" t="str">
        <f t="shared" si="7"/>
        <v/>
      </c>
      <c r="CF73" s="27" t="e">
        <f>IF(AND(CI73,NOT(AD73)),LOOKUP(CF$5,{0,750,1500},H73:J73),"")</f>
        <v>#N/A</v>
      </c>
      <c r="CG73" s="6" t="str">
        <f t="shared" si="8"/>
        <v/>
      </c>
      <c r="CH73" t="e">
        <f t="shared" si="137"/>
        <v>#N/A</v>
      </c>
      <c r="CI73" t="e">
        <f t="shared" si="138"/>
        <v>#N/A</v>
      </c>
      <c r="CJ73" s="6" t="e">
        <f t="shared" si="148"/>
        <v>#N/A</v>
      </c>
      <c r="CK73" s="6">
        <f t="shared" si="149"/>
        <v>1</v>
      </c>
      <c r="CL73" s="6">
        <f t="shared" si="150"/>
        <v>1</v>
      </c>
      <c r="CM73" s="6">
        <f t="shared" si="151"/>
        <v>0</v>
      </c>
      <c r="CN73" s="6">
        <f t="shared" si="152"/>
        <v>0</v>
      </c>
      <c r="CO73" s="6">
        <f t="shared" si="153"/>
        <v>1</v>
      </c>
      <c r="CP73" s="6">
        <f t="shared" si="154"/>
        <v>1</v>
      </c>
      <c r="CQ73" s="6">
        <f t="shared" si="139"/>
        <v>1</v>
      </c>
      <c r="CR73" s="81" t="str">
        <f t="shared" si="155"/>
        <v/>
      </c>
      <c r="CS73" t="e">
        <f t="shared" si="140"/>
        <v>#DIV/0!</v>
      </c>
      <c r="CT73">
        <f t="shared" si="19"/>
        <v>0</v>
      </c>
      <c r="CU73" t="str">
        <f t="shared" si="156"/>
        <v/>
      </c>
      <c r="CV73" s="81">
        <f t="shared" si="141"/>
        <v>0</v>
      </c>
      <c r="CW73" s="81">
        <f>(CV73/25)^1.5*(Calculator!$BU$4/10000)*CW$5</f>
        <v>0</v>
      </c>
      <c r="CX73" t="str">
        <f t="shared" si="142"/>
        <v>$0</v>
      </c>
    </row>
    <row r="74" spans="2:102" x14ac:dyDescent="0.25">
      <c r="B74" s="115" t="s">
        <v>233</v>
      </c>
      <c r="C74" s="13">
        <v>46237.767361111109</v>
      </c>
      <c r="D74">
        <v>24982</v>
      </c>
      <c r="E74" s="54" t="s">
        <v>237</v>
      </c>
      <c r="F74" s="54" t="s">
        <v>441</v>
      </c>
      <c r="G74" s="54" t="s">
        <v>449</v>
      </c>
      <c r="H74" s="55">
        <v>14.799999999999999</v>
      </c>
      <c r="I74" s="55">
        <v>14.399999999999999</v>
      </c>
      <c r="J74" s="55">
        <v>14.2</v>
      </c>
      <c r="K74" s="54"/>
      <c r="L74" s="56" t="b">
        <v>0</v>
      </c>
      <c r="M74" s="56" t="b">
        <v>0</v>
      </c>
      <c r="N74" s="54">
        <v>0</v>
      </c>
      <c r="O74" s="54" t="s">
        <v>238</v>
      </c>
      <c r="P74" s="54">
        <v>100</v>
      </c>
      <c r="Q74" s="54">
        <v>0</v>
      </c>
      <c r="R74" s="54">
        <v>0</v>
      </c>
      <c r="S74" s="54" t="s">
        <v>443</v>
      </c>
      <c r="T74" s="54" t="s">
        <v>450</v>
      </c>
      <c r="U74" s="54" t="s">
        <v>2220</v>
      </c>
      <c r="V74" s="54" t="s">
        <v>2221</v>
      </c>
      <c r="W74" s="54" t="b">
        <v>0</v>
      </c>
      <c r="X74" s="54"/>
      <c r="Y74" s="57" t="s">
        <v>2222</v>
      </c>
      <c r="Z74" s="54" t="s">
        <v>452</v>
      </c>
      <c r="AA74" s="54"/>
      <c r="AB74" s="54" t="s">
        <v>446</v>
      </c>
      <c r="AC74" s="56" t="b">
        <v>0</v>
      </c>
      <c r="AD74" s="56" t="b">
        <v>0</v>
      </c>
      <c r="AE74" s="54"/>
      <c r="AF74" s="58"/>
      <c r="AG74" s="62" t="s">
        <v>293</v>
      </c>
      <c r="AH74" s="54"/>
      <c r="AI74" s="54"/>
      <c r="AJ74" s="54"/>
      <c r="AK74" s="54"/>
      <c r="AL74" s="54"/>
      <c r="AM74" s="54">
        <v>0</v>
      </c>
      <c r="AN74" s="54"/>
      <c r="AO74" s="54"/>
      <c r="AP74" s="54"/>
      <c r="AQ74" s="54"/>
      <c r="AR74" s="54"/>
      <c r="AS74" s="54"/>
      <c r="AT74" s="54"/>
      <c r="AU74" s="54"/>
      <c r="AV74" s="54"/>
      <c r="AW74" s="54"/>
      <c r="AX74" s="59"/>
      <c r="AY74" s="59"/>
      <c r="AZ74" s="59"/>
      <c r="BA74" s="59"/>
      <c r="BB74" s="59"/>
      <c r="BC74" s="60"/>
      <c r="BD74" s="61"/>
      <c r="BE74" s="62"/>
      <c r="BF74" s="35">
        <f t="shared" si="143"/>
        <v>4.0600000000000005</v>
      </c>
      <c r="BG74" s="35">
        <f t="shared" si="143"/>
        <v>6.0295000000000001E-2</v>
      </c>
      <c r="BH74" s="35" t="str">
        <f t="shared" si="132"/>
        <v>?</v>
      </c>
      <c r="BI74" s="110" t="str">
        <f t="shared" si="133"/>
        <v/>
      </c>
      <c r="BJ74" s="83">
        <f>VLOOKUP($F74,REP_Info!$D$6:$H$250,5,FALSE)</f>
        <v>3.9169999999999998</v>
      </c>
      <c r="BK74" s="30" t="e">
        <f t="shared" si="134"/>
        <v>#N/A</v>
      </c>
      <c r="BL74" s="30" t="e">
        <f t="shared" si="134"/>
        <v>#N/A</v>
      </c>
      <c r="BM74" s="30" t="e">
        <f t="shared" si="134"/>
        <v>#N/A</v>
      </c>
      <c r="BN74" s="29" t="e">
        <f t="shared" si="134"/>
        <v>#N/A</v>
      </c>
      <c r="BO74" s="85" t="str">
        <f t="shared" si="147"/>
        <v>$$$</v>
      </c>
      <c r="BP74" s="88" t="str">
        <f t="shared" si="135"/>
        <v>$$$</v>
      </c>
      <c r="BQ74" s="88" t="str">
        <f t="shared" si="144"/>
        <v>$$$</v>
      </c>
      <c r="BR74" s="88" t="str">
        <f t="shared" si="145"/>
        <v>$$$</v>
      </c>
      <c r="BS74" s="29" t="e">
        <f t="shared" si="146"/>
        <v>#N/A</v>
      </c>
      <c r="BT74" s="29" t="e">
        <f t="shared" si="146"/>
        <v>#N/A</v>
      </c>
      <c r="BU74" s="29" t="e">
        <f t="shared" si="146"/>
        <v>#N/A</v>
      </c>
      <c r="BV74" s="29" t="e">
        <f t="shared" si="146"/>
        <v>#N/A</v>
      </c>
      <c r="BW74" s="29" t="e">
        <f t="shared" si="146"/>
        <v>#N/A</v>
      </c>
      <c r="BX74" s="29" t="e">
        <f t="shared" si="146"/>
        <v>#N/A</v>
      </c>
      <c r="BY74" s="29" t="e">
        <f t="shared" si="146"/>
        <v>#N/A</v>
      </c>
      <c r="BZ74" s="29" t="e">
        <f t="shared" si="146"/>
        <v>#N/A</v>
      </c>
      <c r="CA74" s="29" t="e">
        <f t="shared" si="146"/>
        <v>#N/A</v>
      </c>
      <c r="CB74" s="29" t="e">
        <f t="shared" si="146"/>
        <v>#N/A</v>
      </c>
      <c r="CC74" s="29" t="e">
        <f t="shared" si="146"/>
        <v>#N/A</v>
      </c>
      <c r="CD74" s="29" t="e">
        <f t="shared" si="146"/>
        <v>#N/A</v>
      </c>
      <c r="CE74" s="6" t="str">
        <f t="shared" si="7"/>
        <v/>
      </c>
      <c r="CF74" s="27" t="e">
        <f>IF(AND(CI74,NOT(AD74)),LOOKUP(CF$5,{0,750,1500},H74:J74),"")</f>
        <v>#N/A</v>
      </c>
      <c r="CG74" s="6" t="str">
        <f t="shared" si="8"/>
        <v/>
      </c>
      <c r="CH74" t="e">
        <f t="shared" si="137"/>
        <v>#N/A</v>
      </c>
      <c r="CI74" t="e">
        <f t="shared" si="138"/>
        <v>#N/A</v>
      </c>
      <c r="CJ74" s="6" t="e">
        <f t="shared" si="148"/>
        <v>#N/A</v>
      </c>
      <c r="CK74" s="6">
        <f t="shared" si="149"/>
        <v>1</v>
      </c>
      <c r="CL74" s="6">
        <f t="shared" si="150"/>
        <v>1</v>
      </c>
      <c r="CM74" s="6">
        <f t="shared" si="151"/>
        <v>0</v>
      </c>
      <c r="CN74" s="6">
        <f t="shared" si="152"/>
        <v>0</v>
      </c>
      <c r="CO74" s="6">
        <f t="shared" si="153"/>
        <v>1</v>
      </c>
      <c r="CP74" s="6">
        <f t="shared" si="154"/>
        <v>1</v>
      </c>
      <c r="CQ74" s="6">
        <f t="shared" si="139"/>
        <v>1</v>
      </c>
      <c r="CR74" s="81" t="str">
        <f t="shared" si="155"/>
        <v/>
      </c>
      <c r="CS74" t="e">
        <f t="shared" si="140"/>
        <v>#DIV/0!</v>
      </c>
      <c r="CT74">
        <f t="shared" si="19"/>
        <v>0</v>
      </c>
      <c r="CU74" t="str">
        <f t="shared" si="156"/>
        <v/>
      </c>
      <c r="CV74" s="81">
        <f t="shared" si="141"/>
        <v>0</v>
      </c>
      <c r="CW74" s="81">
        <f>(CV74/25)^1.5*(Calculator!$BU$4/10000)*CW$5</f>
        <v>0</v>
      </c>
      <c r="CX74" t="str">
        <f t="shared" si="142"/>
        <v>$0</v>
      </c>
    </row>
    <row r="75" spans="2:102" x14ac:dyDescent="0.25">
      <c r="B75" s="115" t="s">
        <v>233</v>
      </c>
      <c r="C75" s="13">
        <v>46237.767361111109</v>
      </c>
      <c r="D75">
        <v>34725</v>
      </c>
      <c r="E75" s="54" t="s">
        <v>235</v>
      </c>
      <c r="F75" s="54" t="s">
        <v>441</v>
      </c>
      <c r="G75" s="54" t="s">
        <v>453</v>
      </c>
      <c r="H75" s="55">
        <v>12.1</v>
      </c>
      <c r="I75" s="55">
        <v>10.6</v>
      </c>
      <c r="J75" s="55">
        <v>9.9</v>
      </c>
      <c r="K75" s="54"/>
      <c r="L75" s="56" t="b">
        <v>0</v>
      </c>
      <c r="M75" s="56" t="b">
        <v>1</v>
      </c>
      <c r="N75" s="54">
        <v>1</v>
      </c>
      <c r="O75" s="54" t="s">
        <v>228</v>
      </c>
      <c r="P75" s="54">
        <v>100</v>
      </c>
      <c r="Q75" s="54">
        <v>12</v>
      </c>
      <c r="R75" s="54" t="s">
        <v>454</v>
      </c>
      <c r="S75" s="54" t="s">
        <v>443</v>
      </c>
      <c r="T75" s="54" t="s">
        <v>455</v>
      </c>
      <c r="U75" s="54" t="s">
        <v>2204</v>
      </c>
      <c r="V75" s="54" t="s">
        <v>2223</v>
      </c>
      <c r="W75" s="54" t="b">
        <v>0</v>
      </c>
      <c r="X75" s="54"/>
      <c r="Y75" s="57" t="s">
        <v>2224</v>
      </c>
      <c r="Z75" s="54" t="s">
        <v>456</v>
      </c>
      <c r="AA75" s="54"/>
      <c r="AB75" s="54" t="s">
        <v>446</v>
      </c>
      <c r="AC75" s="56" t="b">
        <v>1</v>
      </c>
      <c r="AD75" s="56" t="b">
        <v>0</v>
      </c>
      <c r="AE75" s="54" t="s">
        <v>303</v>
      </c>
      <c r="AF75" s="58">
        <v>46237</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3.9975000000000004E-2</v>
      </c>
      <c r="BC75" s="60">
        <v>4.9000000000000004</v>
      </c>
      <c r="BD75" s="61">
        <v>5.1461E-2</v>
      </c>
      <c r="BE75" s="62" t="e">
        <v>#N/A</v>
      </c>
      <c r="BF75" s="35">
        <f t="shared" si="143"/>
        <v>4.9000000000000004</v>
      </c>
      <c r="BG75" s="35">
        <f t="shared" si="143"/>
        <v>5.1461E-2</v>
      </c>
      <c r="BH75" s="35" t="str">
        <f t="shared" si="132"/>
        <v>?</v>
      </c>
      <c r="BI75" s="110">
        <f t="shared" si="133"/>
        <v>0</v>
      </c>
      <c r="BJ75" s="83">
        <f>VLOOKUP($F75,REP_Info!$D$6:$H$250,5,FALSE)</f>
        <v>3.9169999999999998</v>
      </c>
      <c r="BK75" s="30" t="e">
        <f t="shared" si="134"/>
        <v>#N/A</v>
      </c>
      <c r="BL75" s="30" t="e">
        <f t="shared" si="134"/>
        <v>#N/A</v>
      </c>
      <c r="BM75" s="30" t="e">
        <f t="shared" si="134"/>
        <v>#N/A</v>
      </c>
      <c r="BN75" s="29" t="e">
        <f t="shared" si="134"/>
        <v>#N/A</v>
      </c>
      <c r="BO75" s="85" t="str">
        <f t="shared" si="147"/>
        <v>$$$</v>
      </c>
      <c r="BP75" s="88" t="str">
        <f t="shared" si="135"/>
        <v>$$$</v>
      </c>
      <c r="BQ75" s="88" t="str">
        <f t="shared" si="144"/>
        <v>$$$</v>
      </c>
      <c r="BR75" s="88" t="str">
        <f t="shared" si="145"/>
        <v>$$$</v>
      </c>
      <c r="BS75" s="29" t="e">
        <f t="shared" si="146"/>
        <v>#N/A</v>
      </c>
      <c r="BT75" s="29" t="e">
        <f t="shared" si="146"/>
        <v>#N/A</v>
      </c>
      <c r="BU75" s="29" t="e">
        <f t="shared" si="146"/>
        <v>#N/A</v>
      </c>
      <c r="BV75" s="29" t="e">
        <f t="shared" si="146"/>
        <v>#N/A</v>
      </c>
      <c r="BW75" s="29" t="e">
        <f t="shared" si="146"/>
        <v>#N/A</v>
      </c>
      <c r="BX75" s="29" t="e">
        <f t="shared" si="146"/>
        <v>#N/A</v>
      </c>
      <c r="BY75" s="29" t="e">
        <f t="shared" si="146"/>
        <v>#N/A</v>
      </c>
      <c r="BZ75" s="29" t="e">
        <f t="shared" si="146"/>
        <v>#N/A</v>
      </c>
      <c r="CA75" s="29" t="e">
        <f t="shared" si="146"/>
        <v>#N/A</v>
      </c>
      <c r="CB75" s="29" t="e">
        <f t="shared" si="146"/>
        <v>#N/A</v>
      </c>
      <c r="CC75" s="29" t="e">
        <f t="shared" si="146"/>
        <v>#N/A</v>
      </c>
      <c r="CD75" s="29" t="e">
        <f t="shared" si="146"/>
        <v>#N/A</v>
      </c>
      <c r="CE75" s="6" t="str">
        <f t="shared" si="7"/>
        <v/>
      </c>
      <c r="CF75" s="27" t="e">
        <f>IF(AND(CI75,NOT(AD75)),LOOKUP(CF$5,{0,750,1500},H75:J75),"")</f>
        <v>#N/A</v>
      </c>
      <c r="CG75" s="6" t="str">
        <f t="shared" si="8"/>
        <v/>
      </c>
      <c r="CH75" t="e">
        <f t="shared" si="137"/>
        <v>#N/A</v>
      </c>
      <c r="CI75" t="e">
        <f t="shared" si="138"/>
        <v>#N/A</v>
      </c>
      <c r="CJ75" s="6" t="e">
        <f t="shared" si="148"/>
        <v>#N/A</v>
      </c>
      <c r="CK75" s="6">
        <f t="shared" si="149"/>
        <v>1</v>
      </c>
      <c r="CL75" s="6">
        <f t="shared" si="150"/>
        <v>1</v>
      </c>
      <c r="CM75" s="6">
        <f t="shared" si="151"/>
        <v>1</v>
      </c>
      <c r="CN75" s="6">
        <f t="shared" si="152"/>
        <v>1</v>
      </c>
      <c r="CO75" s="6">
        <f t="shared" si="153"/>
        <v>1</v>
      </c>
      <c r="CP75" s="6">
        <f t="shared" si="154"/>
        <v>1</v>
      </c>
      <c r="CQ75" s="6">
        <f t="shared" si="139"/>
        <v>1</v>
      </c>
      <c r="CR75" s="81" t="str">
        <f t="shared" si="155"/>
        <v/>
      </c>
      <c r="CS75">
        <f t="shared" si="140"/>
        <v>0</v>
      </c>
      <c r="CT75">
        <f t="shared" si="19"/>
        <v>15</v>
      </c>
      <c r="CU75" t="str">
        <f t="shared" si="156"/>
        <v>rm</v>
      </c>
      <c r="CV75" s="81">
        <f t="shared" si="141"/>
        <v>180</v>
      </c>
      <c r="CW75" s="81">
        <f>(CV75/25)^1.5*(Calculator!$BU$4/10000)*CW$5</f>
        <v>49.885325635190988</v>
      </c>
      <c r="CX75" t="str">
        <f t="shared" si="142"/>
        <v>$15/rm</v>
      </c>
    </row>
    <row r="76" spans="2:102" x14ac:dyDescent="0.25">
      <c r="B76" s="115" t="s">
        <v>233</v>
      </c>
      <c r="C76" s="13">
        <v>46237.767361111109</v>
      </c>
      <c r="D76">
        <v>34727</v>
      </c>
      <c r="E76" s="54" t="s">
        <v>237</v>
      </c>
      <c r="F76" s="54" t="s">
        <v>441</v>
      </c>
      <c r="G76" s="54" t="s">
        <v>453</v>
      </c>
      <c r="H76" s="55">
        <v>12.8</v>
      </c>
      <c r="I76" s="55">
        <v>11.4</v>
      </c>
      <c r="J76" s="55">
        <v>10.7</v>
      </c>
      <c r="K76" s="54"/>
      <c r="L76" s="56" t="b">
        <v>0</v>
      </c>
      <c r="M76" s="56" t="b">
        <v>1</v>
      </c>
      <c r="N76" s="54">
        <v>1</v>
      </c>
      <c r="O76" s="54" t="s">
        <v>228</v>
      </c>
      <c r="P76" s="54">
        <v>100</v>
      </c>
      <c r="Q76" s="54">
        <v>12</v>
      </c>
      <c r="R76" s="54" t="s">
        <v>454</v>
      </c>
      <c r="S76" s="54" t="s">
        <v>443</v>
      </c>
      <c r="T76" s="54" t="s">
        <v>455</v>
      </c>
      <c r="U76" s="54" t="s">
        <v>2205</v>
      </c>
      <c r="V76" s="54" t="s">
        <v>2225</v>
      </c>
      <c r="W76" s="54" t="b">
        <v>0</v>
      </c>
      <c r="X76" s="54"/>
      <c r="Y76" s="57" t="s">
        <v>2226</v>
      </c>
      <c r="Z76" s="54" t="s">
        <v>457</v>
      </c>
      <c r="AA76" s="54"/>
      <c r="AB76" s="54" t="s">
        <v>446</v>
      </c>
      <c r="AC76" s="56" t="b">
        <v>1</v>
      </c>
      <c r="AD76" s="56" t="b">
        <v>0</v>
      </c>
      <c r="AE76" s="54" t="s">
        <v>303</v>
      </c>
      <c r="AF76" s="58">
        <v>46237</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3.9975000000000004E-2</v>
      </c>
      <c r="BC76" s="60">
        <v>4.0599999999999996</v>
      </c>
      <c r="BD76" s="61">
        <v>6.1196E-2</v>
      </c>
      <c r="BE76" s="62" t="e">
        <v>#N/A</v>
      </c>
      <c r="BF76" s="35">
        <f t="shared" si="143"/>
        <v>4.0600000000000005</v>
      </c>
      <c r="BG76" s="35">
        <f t="shared" si="143"/>
        <v>6.0295000000000001E-2</v>
      </c>
      <c r="BH76" s="35" t="str">
        <f t="shared" si="132"/>
        <v>?</v>
      </c>
      <c r="BI76" s="110">
        <f t="shared" si="133"/>
        <v>0</v>
      </c>
      <c r="BJ76" s="83">
        <f>VLOOKUP($F76,REP_Info!$D$6:$H$250,5,FALSE)</f>
        <v>3.9169999999999998</v>
      </c>
      <c r="BK76" s="30" t="e">
        <f t="shared" si="134"/>
        <v>#N/A</v>
      </c>
      <c r="BL76" s="30" t="e">
        <f t="shared" si="134"/>
        <v>#N/A</v>
      </c>
      <c r="BM76" s="30" t="e">
        <f t="shared" si="134"/>
        <v>#N/A</v>
      </c>
      <c r="BN76" s="29" t="e">
        <f t="shared" si="134"/>
        <v>#N/A</v>
      </c>
      <c r="BO76" s="85" t="str">
        <f t="shared" si="147"/>
        <v>$$$</v>
      </c>
      <c r="BP76" s="88" t="str">
        <f t="shared" si="135"/>
        <v>$$$</v>
      </c>
      <c r="BQ76" s="88" t="str">
        <f t="shared" si="144"/>
        <v>$$$</v>
      </c>
      <c r="BR76" s="88" t="str">
        <f t="shared" si="145"/>
        <v>$$$</v>
      </c>
      <c r="BS76" s="29" t="e">
        <f t="shared" si="146"/>
        <v>#N/A</v>
      </c>
      <c r="BT76" s="29" t="e">
        <f t="shared" si="146"/>
        <v>#N/A</v>
      </c>
      <c r="BU76" s="29" t="e">
        <f t="shared" si="146"/>
        <v>#N/A</v>
      </c>
      <c r="BV76" s="29" t="e">
        <f t="shared" si="146"/>
        <v>#N/A</v>
      </c>
      <c r="BW76" s="29" t="e">
        <f t="shared" si="146"/>
        <v>#N/A</v>
      </c>
      <c r="BX76" s="29" t="e">
        <f t="shared" si="146"/>
        <v>#N/A</v>
      </c>
      <c r="BY76" s="29" t="e">
        <f t="shared" si="146"/>
        <v>#N/A</v>
      </c>
      <c r="BZ76" s="29" t="e">
        <f t="shared" si="146"/>
        <v>#N/A</v>
      </c>
      <c r="CA76" s="29" t="e">
        <f t="shared" si="146"/>
        <v>#N/A</v>
      </c>
      <c r="CB76" s="29" t="e">
        <f t="shared" si="146"/>
        <v>#N/A</v>
      </c>
      <c r="CC76" s="29" t="e">
        <f t="shared" si="146"/>
        <v>#N/A</v>
      </c>
      <c r="CD76" s="29" t="e">
        <f t="shared" si="146"/>
        <v>#N/A</v>
      </c>
      <c r="CE76" s="6" t="str">
        <f t="shared" si="7"/>
        <v/>
      </c>
      <c r="CF76" s="27" t="e">
        <f>IF(AND(CI76,NOT(AD76)),LOOKUP(CF$5,{0,750,1500},H76:J76),"")</f>
        <v>#N/A</v>
      </c>
      <c r="CG76" s="6" t="str">
        <f t="shared" si="8"/>
        <v/>
      </c>
      <c r="CH76" t="e">
        <f t="shared" si="137"/>
        <v>#N/A</v>
      </c>
      <c r="CI76" t="e">
        <f t="shared" si="138"/>
        <v>#N/A</v>
      </c>
      <c r="CJ76" s="6" t="e">
        <f t="shared" si="148"/>
        <v>#N/A</v>
      </c>
      <c r="CK76" s="6">
        <f t="shared" si="149"/>
        <v>1</v>
      </c>
      <c r="CL76" s="6">
        <f t="shared" si="150"/>
        <v>1</v>
      </c>
      <c r="CM76" s="6">
        <f t="shared" si="151"/>
        <v>1</v>
      </c>
      <c r="CN76" s="6">
        <f t="shared" si="152"/>
        <v>1</v>
      </c>
      <c r="CO76" s="6">
        <f t="shared" si="153"/>
        <v>1</v>
      </c>
      <c r="CP76" s="6">
        <f t="shared" si="154"/>
        <v>1</v>
      </c>
      <c r="CQ76" s="6">
        <f t="shared" si="139"/>
        <v>1</v>
      </c>
      <c r="CR76" s="81" t="str">
        <f t="shared" si="155"/>
        <v/>
      </c>
      <c r="CS76">
        <f t="shared" si="140"/>
        <v>0</v>
      </c>
      <c r="CT76">
        <f t="shared" si="19"/>
        <v>15</v>
      </c>
      <c r="CU76" t="str">
        <f t="shared" si="156"/>
        <v>rm</v>
      </c>
      <c r="CV76" s="81">
        <f t="shared" si="141"/>
        <v>180</v>
      </c>
      <c r="CW76" s="81">
        <f>(CV76/25)^1.5*(Calculator!$BU$4/10000)*CW$5</f>
        <v>49.885325635190988</v>
      </c>
      <c r="CX76" t="str">
        <f t="shared" si="142"/>
        <v>$15/rm</v>
      </c>
    </row>
    <row r="77" spans="2:102" x14ac:dyDescent="0.25">
      <c r="B77" s="115" t="s">
        <v>233</v>
      </c>
      <c r="C77" s="13">
        <v>46233.236805555556</v>
      </c>
      <c r="D77">
        <v>34735</v>
      </c>
      <c r="E77" s="54" t="s">
        <v>235</v>
      </c>
      <c r="F77" s="54" t="s">
        <v>441</v>
      </c>
      <c r="G77" s="54" t="s">
        <v>458</v>
      </c>
      <c r="H77" s="55">
        <v>12.7</v>
      </c>
      <c r="I77" s="55">
        <v>11.200000000000001</v>
      </c>
      <c r="J77" s="55">
        <v>10.5</v>
      </c>
      <c r="K77" s="54"/>
      <c r="L77" s="56" t="b">
        <v>0</v>
      </c>
      <c r="M77" s="56" t="b">
        <v>1</v>
      </c>
      <c r="N77" s="54">
        <v>1</v>
      </c>
      <c r="O77" s="54" t="s">
        <v>228</v>
      </c>
      <c r="P77" s="54">
        <v>100</v>
      </c>
      <c r="Q77" s="54">
        <v>24</v>
      </c>
      <c r="R77" s="54" t="s">
        <v>454</v>
      </c>
      <c r="S77" s="54" t="s">
        <v>443</v>
      </c>
      <c r="T77" s="54" t="s">
        <v>455</v>
      </c>
      <c r="U77" s="54" t="s">
        <v>2021</v>
      </c>
      <c r="V77" s="54" t="s">
        <v>2031</v>
      </c>
      <c r="W77" s="54" t="b">
        <v>0</v>
      </c>
      <c r="X77" s="54"/>
      <c r="Y77" s="57" t="s">
        <v>2032</v>
      </c>
      <c r="Z77" s="54" t="s">
        <v>459</v>
      </c>
      <c r="AA77" s="54"/>
      <c r="AB77" s="54" t="s">
        <v>446</v>
      </c>
      <c r="AC77" s="56" t="b">
        <v>1</v>
      </c>
      <c r="AD77" s="56" t="b">
        <v>0</v>
      </c>
      <c r="AE77" s="54" t="s">
        <v>303</v>
      </c>
      <c r="AF77" s="58">
        <v>46232</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4.5955000000000003E-2</v>
      </c>
      <c r="BC77" s="60">
        <v>4.9000000000000004</v>
      </c>
      <c r="BD77" s="61">
        <v>5.1461E-2</v>
      </c>
      <c r="BE77" s="62" t="e">
        <v>#N/A</v>
      </c>
      <c r="BF77" s="35">
        <f t="shared" si="143"/>
        <v>4.9000000000000004</v>
      </c>
      <c r="BG77" s="35">
        <f t="shared" si="143"/>
        <v>5.1461E-2</v>
      </c>
      <c r="BH77" s="35" t="str">
        <f t="shared" si="132"/>
        <v>?</v>
      </c>
      <c r="BI77" s="110">
        <f t="shared" si="133"/>
        <v>0</v>
      </c>
      <c r="BJ77" s="83">
        <f>VLOOKUP($F77,REP_Info!$D$6:$H$250,5,FALSE)</f>
        <v>3.9169999999999998</v>
      </c>
      <c r="BK77" s="30" t="e">
        <f t="shared" si="134"/>
        <v>#N/A</v>
      </c>
      <c r="BL77" s="30" t="e">
        <f t="shared" si="134"/>
        <v>#N/A</v>
      </c>
      <c r="BM77" s="30" t="e">
        <f t="shared" si="134"/>
        <v>#N/A</v>
      </c>
      <c r="BN77" s="29" t="e">
        <f t="shared" si="134"/>
        <v>#N/A</v>
      </c>
      <c r="BO77" s="85" t="str">
        <f t="shared" si="147"/>
        <v>$$$</v>
      </c>
      <c r="BP77" s="88" t="str">
        <f t="shared" si="135"/>
        <v>$$$</v>
      </c>
      <c r="BQ77" s="88" t="str">
        <f t="shared" si="144"/>
        <v>$$$</v>
      </c>
      <c r="BR77" s="88" t="str">
        <f t="shared" si="145"/>
        <v>$$$</v>
      </c>
      <c r="BS77" s="29" t="e">
        <f t="shared" si="146"/>
        <v>#N/A</v>
      </c>
      <c r="BT77" s="29" t="e">
        <f t="shared" si="146"/>
        <v>#N/A</v>
      </c>
      <c r="BU77" s="29" t="e">
        <f t="shared" si="146"/>
        <v>#N/A</v>
      </c>
      <c r="BV77" s="29" t="e">
        <f t="shared" si="146"/>
        <v>#N/A</v>
      </c>
      <c r="BW77" s="29" t="e">
        <f t="shared" si="146"/>
        <v>#N/A</v>
      </c>
      <c r="BX77" s="29" t="e">
        <f t="shared" si="146"/>
        <v>#N/A</v>
      </c>
      <c r="BY77" s="29" t="e">
        <f t="shared" si="146"/>
        <v>#N/A</v>
      </c>
      <c r="BZ77" s="29" t="e">
        <f t="shared" si="146"/>
        <v>#N/A</v>
      </c>
      <c r="CA77" s="29" t="e">
        <f t="shared" si="146"/>
        <v>#N/A</v>
      </c>
      <c r="CB77" s="29" t="e">
        <f t="shared" si="146"/>
        <v>#N/A</v>
      </c>
      <c r="CC77" s="29" t="e">
        <f t="shared" si="146"/>
        <v>#N/A</v>
      </c>
      <c r="CD77" s="29" t="e">
        <f t="shared" si="146"/>
        <v>#N/A</v>
      </c>
      <c r="CE77" s="6" t="str">
        <f t="shared" si="7"/>
        <v/>
      </c>
      <c r="CF77" s="27" t="e">
        <f>IF(AND(CI77,NOT(AD77)),LOOKUP(CF$5,{0,750,1500},H77:J77),"")</f>
        <v>#N/A</v>
      </c>
      <c r="CG77" s="6" t="str">
        <f t="shared" si="8"/>
        <v/>
      </c>
      <c r="CH77" t="e">
        <f t="shared" si="137"/>
        <v>#N/A</v>
      </c>
      <c r="CI77" t="e">
        <f t="shared" si="138"/>
        <v>#N/A</v>
      </c>
      <c r="CJ77" s="6" t="e">
        <f t="shared" si="148"/>
        <v>#N/A</v>
      </c>
      <c r="CK77" s="6">
        <f t="shared" si="149"/>
        <v>1</v>
      </c>
      <c r="CL77" s="6">
        <f t="shared" si="150"/>
        <v>1</v>
      </c>
      <c r="CM77" s="6">
        <f t="shared" si="151"/>
        <v>1</v>
      </c>
      <c r="CN77" s="6">
        <f t="shared" si="152"/>
        <v>1</v>
      </c>
      <c r="CO77" s="6">
        <f t="shared" si="153"/>
        <v>0</v>
      </c>
      <c r="CP77" s="6">
        <f t="shared" si="154"/>
        <v>1</v>
      </c>
      <c r="CQ77" s="6">
        <f t="shared" si="139"/>
        <v>1</v>
      </c>
      <c r="CR77" s="81" t="str">
        <f t="shared" si="155"/>
        <v/>
      </c>
      <c r="CS77">
        <f t="shared" si="140"/>
        <v>0</v>
      </c>
      <c r="CT77">
        <f t="shared" si="19"/>
        <v>15</v>
      </c>
      <c r="CU77" t="str">
        <f t="shared" si="156"/>
        <v>rm</v>
      </c>
      <c r="CV77" s="81">
        <f t="shared" si="141"/>
        <v>360</v>
      </c>
      <c r="CW77" s="81">
        <f>(CV77/25)^1.5*(Calculator!$BU$4/10000)*CW$5</f>
        <v>141.09700815337061</v>
      </c>
      <c r="CX77" t="str">
        <f t="shared" si="142"/>
        <v>$15/rm</v>
      </c>
    </row>
    <row r="78" spans="2:102" x14ac:dyDescent="0.25">
      <c r="B78" s="115" t="s">
        <v>233</v>
      </c>
      <c r="C78" s="13">
        <v>46237.767361111109</v>
      </c>
      <c r="D78">
        <v>34749</v>
      </c>
      <c r="E78" s="54" t="s">
        <v>235</v>
      </c>
      <c r="F78" s="54" t="s">
        <v>441</v>
      </c>
      <c r="G78" s="54" t="s">
        <v>460</v>
      </c>
      <c r="H78" s="55">
        <v>13.100000000000001</v>
      </c>
      <c r="I78" s="55">
        <v>11.600000000000001</v>
      </c>
      <c r="J78" s="55">
        <v>10.8</v>
      </c>
      <c r="K78" s="54"/>
      <c r="L78" s="56" t="b">
        <v>0</v>
      </c>
      <c r="M78" s="56" t="b">
        <v>1</v>
      </c>
      <c r="N78" s="54">
        <v>1</v>
      </c>
      <c r="O78" s="54" t="s">
        <v>228</v>
      </c>
      <c r="P78" s="54">
        <v>100</v>
      </c>
      <c r="Q78" s="54">
        <v>36</v>
      </c>
      <c r="R78" s="54" t="s">
        <v>454</v>
      </c>
      <c r="S78" s="54" t="s">
        <v>443</v>
      </c>
      <c r="T78" s="54" t="s">
        <v>461</v>
      </c>
      <c r="U78" s="54" t="s">
        <v>2206</v>
      </c>
      <c r="V78" s="54" t="s">
        <v>2227</v>
      </c>
      <c r="W78" s="54" t="b">
        <v>0</v>
      </c>
      <c r="X78" s="54"/>
      <c r="Y78" s="57" t="s">
        <v>2228</v>
      </c>
      <c r="Z78" s="54" t="s">
        <v>462</v>
      </c>
      <c r="AA78" s="54"/>
      <c r="AB78" s="54" t="s">
        <v>446</v>
      </c>
      <c r="AC78" s="56" t="b">
        <v>1</v>
      </c>
      <c r="AD78" s="56" t="b">
        <v>0</v>
      </c>
      <c r="AE78" s="54" t="s">
        <v>303</v>
      </c>
      <c r="AF78" s="58">
        <v>46237</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4.9595000000000007E-2</v>
      </c>
      <c r="BC78" s="60">
        <v>4.9000000000000004</v>
      </c>
      <c r="BD78" s="61">
        <v>5.1461E-2</v>
      </c>
      <c r="BE78" s="62" t="e">
        <v>#N/A</v>
      </c>
      <c r="BF78" s="35">
        <f t="shared" si="143"/>
        <v>4.9000000000000004</v>
      </c>
      <c r="BG78" s="35">
        <f t="shared" si="143"/>
        <v>5.1461E-2</v>
      </c>
      <c r="BH78" s="35" t="str">
        <f t="shared" si="132"/>
        <v>?</v>
      </c>
      <c r="BI78" s="110">
        <f t="shared" si="133"/>
        <v>0</v>
      </c>
      <c r="BJ78" s="83">
        <f>VLOOKUP($F78,REP_Info!$D$6:$H$250,5,FALSE)</f>
        <v>3.9169999999999998</v>
      </c>
      <c r="BK78" s="30" t="e">
        <f t="shared" si="134"/>
        <v>#N/A</v>
      </c>
      <c r="BL78" s="30" t="e">
        <f t="shared" si="134"/>
        <v>#N/A</v>
      </c>
      <c r="BM78" s="30" t="e">
        <f t="shared" si="134"/>
        <v>#N/A</v>
      </c>
      <c r="BN78" s="29" t="e">
        <f t="shared" si="134"/>
        <v>#N/A</v>
      </c>
      <c r="BO78" s="85" t="str">
        <f t="shared" si="147"/>
        <v>$$$</v>
      </c>
      <c r="BP78" s="88" t="str">
        <f t="shared" si="135"/>
        <v>$$$</v>
      </c>
      <c r="BQ78" s="88" t="str">
        <f t="shared" si="144"/>
        <v>$$$</v>
      </c>
      <c r="BR78" s="88" t="str">
        <f t="shared" si="145"/>
        <v>$$$</v>
      </c>
      <c r="BS78" s="29" t="e">
        <f t="shared" si="146"/>
        <v>#N/A</v>
      </c>
      <c r="BT78" s="29" t="e">
        <f t="shared" si="146"/>
        <v>#N/A</v>
      </c>
      <c r="BU78" s="29" t="e">
        <f t="shared" si="146"/>
        <v>#N/A</v>
      </c>
      <c r="BV78" s="29" t="e">
        <f t="shared" si="146"/>
        <v>#N/A</v>
      </c>
      <c r="BW78" s="29" t="e">
        <f t="shared" si="146"/>
        <v>#N/A</v>
      </c>
      <c r="BX78" s="29" t="e">
        <f t="shared" si="146"/>
        <v>#N/A</v>
      </c>
      <c r="BY78" s="29" t="e">
        <f t="shared" si="146"/>
        <v>#N/A</v>
      </c>
      <c r="BZ78" s="29" t="e">
        <f t="shared" si="146"/>
        <v>#N/A</v>
      </c>
      <c r="CA78" s="29" t="e">
        <f t="shared" si="146"/>
        <v>#N/A</v>
      </c>
      <c r="CB78" s="29" t="e">
        <f t="shared" si="146"/>
        <v>#N/A</v>
      </c>
      <c r="CC78" s="29" t="e">
        <f t="shared" si="146"/>
        <v>#N/A</v>
      </c>
      <c r="CD78" s="29" t="e">
        <f t="shared" si="146"/>
        <v>#N/A</v>
      </c>
      <c r="CE78" s="6" t="str">
        <f t="shared" si="7"/>
        <v/>
      </c>
      <c r="CF78" s="27" t="e">
        <f>IF(AND(CI78,NOT(AD78)),LOOKUP(CF$5,{0,750,1500},H78:J78),"")</f>
        <v>#N/A</v>
      </c>
      <c r="CG78" s="6" t="str">
        <f t="shared" si="8"/>
        <v/>
      </c>
      <c r="CH78" t="e">
        <f t="shared" si="137"/>
        <v>#N/A</v>
      </c>
      <c r="CI78" t="e">
        <f t="shared" si="138"/>
        <v>#N/A</v>
      </c>
      <c r="CJ78" s="6" t="e">
        <f t="shared" si="148"/>
        <v>#N/A</v>
      </c>
      <c r="CK78" s="6">
        <f t="shared" si="149"/>
        <v>1</v>
      </c>
      <c r="CL78" s="6">
        <f t="shared" si="150"/>
        <v>1</v>
      </c>
      <c r="CM78" s="6">
        <f t="shared" si="151"/>
        <v>1</v>
      </c>
      <c r="CN78" s="6">
        <f t="shared" si="152"/>
        <v>1</v>
      </c>
      <c r="CO78" s="6">
        <f t="shared" si="153"/>
        <v>0</v>
      </c>
      <c r="CP78" s="6">
        <f t="shared" si="154"/>
        <v>1</v>
      </c>
      <c r="CQ78" s="6">
        <f t="shared" si="139"/>
        <v>1</v>
      </c>
      <c r="CR78" s="81" t="str">
        <f t="shared" si="155"/>
        <v/>
      </c>
      <c r="CS78">
        <f t="shared" si="140"/>
        <v>0</v>
      </c>
      <c r="CT78">
        <f t="shared" si="19"/>
        <v>15</v>
      </c>
      <c r="CU78" t="str">
        <f t="shared" si="156"/>
        <v>rm</v>
      </c>
      <c r="CV78" s="81">
        <f t="shared" si="141"/>
        <v>540</v>
      </c>
      <c r="CW78" s="81">
        <f>(CV78/25)^1.5*(Calculator!$BU$4/10000)*CW$5</f>
        <v>259.21175565680682</v>
      </c>
      <c r="CX78" t="str">
        <f t="shared" si="142"/>
        <v>$15/rm</v>
      </c>
    </row>
    <row r="79" spans="2:102" x14ac:dyDescent="0.25">
      <c r="B79" s="115" t="s">
        <v>233</v>
      </c>
      <c r="C79" s="13">
        <v>46237.767361111109</v>
      </c>
      <c r="D79">
        <v>35259</v>
      </c>
      <c r="E79" s="54" t="s">
        <v>235</v>
      </c>
      <c r="F79" s="54" t="s">
        <v>441</v>
      </c>
      <c r="G79" s="54" t="s">
        <v>1899</v>
      </c>
      <c r="H79" s="55">
        <v>11.899999999999999</v>
      </c>
      <c r="I79" s="55">
        <v>10.4</v>
      </c>
      <c r="J79" s="55">
        <v>9.7000000000000011</v>
      </c>
      <c r="K79" s="54"/>
      <c r="L79" s="56" t="b">
        <v>0</v>
      </c>
      <c r="M79" s="56" t="b">
        <v>1</v>
      </c>
      <c r="N79" s="54">
        <v>1</v>
      </c>
      <c r="O79" s="54" t="s">
        <v>228</v>
      </c>
      <c r="P79" s="54">
        <v>100</v>
      </c>
      <c r="Q79" s="54">
        <v>11</v>
      </c>
      <c r="R79" s="54" t="s">
        <v>454</v>
      </c>
      <c r="S79" s="54" t="s">
        <v>443</v>
      </c>
      <c r="T79" s="54" t="s">
        <v>455</v>
      </c>
      <c r="U79" s="54" t="s">
        <v>2207</v>
      </c>
      <c r="V79" s="54" t="s">
        <v>2229</v>
      </c>
      <c r="W79" s="54" t="b">
        <v>0</v>
      </c>
      <c r="X79" s="54"/>
      <c r="Y79" s="57" t="s">
        <v>2230</v>
      </c>
      <c r="Z79" s="54" t="s">
        <v>1900</v>
      </c>
      <c r="AA79" s="54"/>
      <c r="AB79" s="54" t="s">
        <v>446</v>
      </c>
      <c r="AC79" s="56" t="b">
        <v>1</v>
      </c>
      <c r="AD79" s="56" t="b">
        <v>0</v>
      </c>
      <c r="AE79" s="54" t="s">
        <v>303</v>
      </c>
      <c r="AF79" s="58">
        <v>46237</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3.7960000000000001E-2</v>
      </c>
      <c r="BC79" s="60">
        <v>4.9000000000000004</v>
      </c>
      <c r="BD79" s="61">
        <v>5.1461E-2</v>
      </c>
      <c r="BE79" s="62" t="e">
        <v>#N/A</v>
      </c>
      <c r="BF79" s="35">
        <f t="shared" si="143"/>
        <v>4.9000000000000004</v>
      </c>
      <c r="BG79" s="35">
        <f t="shared" si="143"/>
        <v>5.1461E-2</v>
      </c>
      <c r="BH79" s="35" t="str">
        <f t="shared" si="132"/>
        <v>?</v>
      </c>
      <c r="BI79" s="110">
        <f t="shared" si="133"/>
        <v>0</v>
      </c>
      <c r="BJ79" s="83">
        <f>VLOOKUP($F79,REP_Info!$D$6:$H$250,5,FALSE)</f>
        <v>3.9169999999999998</v>
      </c>
      <c r="BK79" s="30" t="e">
        <f t="shared" si="134"/>
        <v>#N/A</v>
      </c>
      <c r="BL79" s="30" t="e">
        <f t="shared" si="134"/>
        <v>#N/A</v>
      </c>
      <c r="BM79" s="30" t="e">
        <f t="shared" si="134"/>
        <v>#N/A</v>
      </c>
      <c r="BN79" s="29" t="e">
        <f t="shared" si="134"/>
        <v>#N/A</v>
      </c>
      <c r="BO79" s="85" t="str">
        <f t="shared" si="147"/>
        <v>$$$</v>
      </c>
      <c r="BP79" s="88" t="str">
        <f t="shared" si="135"/>
        <v>$$$</v>
      </c>
      <c r="BQ79" s="88" t="str">
        <f t="shared" si="144"/>
        <v>$$$</v>
      </c>
      <c r="BR79" s="88" t="str">
        <f t="shared" si="145"/>
        <v>$$$</v>
      </c>
      <c r="BS79" s="29" t="e">
        <f t="shared" si="146"/>
        <v>#N/A</v>
      </c>
      <c r="BT79" s="29" t="e">
        <f t="shared" si="146"/>
        <v>#N/A</v>
      </c>
      <c r="BU79" s="29" t="e">
        <f t="shared" si="146"/>
        <v>#N/A</v>
      </c>
      <c r="BV79" s="29" t="e">
        <f t="shared" si="146"/>
        <v>#N/A</v>
      </c>
      <c r="BW79" s="29" t="e">
        <f t="shared" si="146"/>
        <v>#N/A</v>
      </c>
      <c r="BX79" s="29" t="e">
        <f t="shared" si="146"/>
        <v>#N/A</v>
      </c>
      <c r="BY79" s="29" t="e">
        <f t="shared" si="146"/>
        <v>#N/A</v>
      </c>
      <c r="BZ79" s="29" t="e">
        <f t="shared" si="146"/>
        <v>#N/A</v>
      </c>
      <c r="CA79" s="29" t="e">
        <f t="shared" si="146"/>
        <v>#N/A</v>
      </c>
      <c r="CB79" s="29" t="e">
        <f t="shared" si="146"/>
        <v>#N/A</v>
      </c>
      <c r="CC79" s="29" t="e">
        <f t="shared" si="146"/>
        <v>#N/A</v>
      </c>
      <c r="CD79" s="29" t="e">
        <f t="shared" si="146"/>
        <v>#N/A</v>
      </c>
      <c r="CE79" s="6" t="str">
        <f t="shared" si="7"/>
        <v/>
      </c>
      <c r="CF79" s="27" t="e">
        <f>IF(AND(CI79,NOT(AD79)),LOOKUP(CF$5,{0,750,1500},H79:J79),"")</f>
        <v>#N/A</v>
      </c>
      <c r="CG79" s="6" t="str">
        <f t="shared" si="8"/>
        <v/>
      </c>
      <c r="CH79" t="e">
        <f t="shared" si="137"/>
        <v>#N/A</v>
      </c>
      <c r="CI79" t="e">
        <f t="shared" si="138"/>
        <v>#N/A</v>
      </c>
      <c r="CJ79" s="6" t="e">
        <f t="shared" si="148"/>
        <v>#N/A</v>
      </c>
      <c r="CK79" s="6">
        <f t="shared" si="149"/>
        <v>1</v>
      </c>
      <c r="CL79" s="6">
        <f t="shared" si="150"/>
        <v>1</v>
      </c>
      <c r="CM79" s="6">
        <f t="shared" si="151"/>
        <v>1</v>
      </c>
      <c r="CN79" s="6">
        <f t="shared" si="152"/>
        <v>0</v>
      </c>
      <c r="CO79" s="6">
        <f t="shared" si="153"/>
        <v>1</v>
      </c>
      <c r="CP79" s="6">
        <f t="shared" si="154"/>
        <v>1</v>
      </c>
      <c r="CQ79" s="6">
        <f t="shared" si="139"/>
        <v>1</v>
      </c>
      <c r="CR79" s="81" t="str">
        <f t="shared" si="155"/>
        <v/>
      </c>
      <c r="CS79">
        <f t="shared" si="140"/>
        <v>1.6363636363636349</v>
      </c>
      <c r="CT79">
        <f t="shared" si="19"/>
        <v>15</v>
      </c>
      <c r="CU79" t="str">
        <f t="shared" si="156"/>
        <v>rm</v>
      </c>
      <c r="CV79" s="81">
        <f t="shared" si="141"/>
        <v>165</v>
      </c>
      <c r="CW79" s="81">
        <f>(CV79/25)^1.5*(Calculator!$BU$4/10000)*CW$5</f>
        <v>43.781432788851987</v>
      </c>
      <c r="CX79" t="str">
        <f t="shared" si="142"/>
        <v>$15/rm</v>
      </c>
    </row>
    <row r="80" spans="2:102" x14ac:dyDescent="0.25">
      <c r="B80" s="115" t="s">
        <v>233</v>
      </c>
      <c r="C80" s="13">
        <v>46237.767361111109</v>
      </c>
      <c r="D80">
        <v>35261</v>
      </c>
      <c r="E80" s="54" t="s">
        <v>237</v>
      </c>
      <c r="F80" s="54" t="s">
        <v>441</v>
      </c>
      <c r="G80" s="54" t="s">
        <v>1899</v>
      </c>
      <c r="H80" s="55">
        <v>12.6</v>
      </c>
      <c r="I80" s="55">
        <v>11.200000000000001</v>
      </c>
      <c r="J80" s="55">
        <v>10.5</v>
      </c>
      <c r="K80" s="54"/>
      <c r="L80" s="56" t="b">
        <v>0</v>
      </c>
      <c r="M80" s="56" t="b">
        <v>1</v>
      </c>
      <c r="N80" s="54">
        <v>1</v>
      </c>
      <c r="O80" s="54" t="s">
        <v>228</v>
      </c>
      <c r="P80" s="54">
        <v>100</v>
      </c>
      <c r="Q80" s="54">
        <v>11</v>
      </c>
      <c r="R80" s="54" t="s">
        <v>454</v>
      </c>
      <c r="S80" s="54" t="s">
        <v>443</v>
      </c>
      <c r="T80" s="54" t="s">
        <v>455</v>
      </c>
      <c r="U80" s="54" t="s">
        <v>2208</v>
      </c>
      <c r="V80" s="54" t="s">
        <v>2231</v>
      </c>
      <c r="W80" s="54" t="b">
        <v>0</v>
      </c>
      <c r="X80" s="54"/>
      <c r="Y80" s="57" t="s">
        <v>2232</v>
      </c>
      <c r="Z80" s="54" t="s">
        <v>1901</v>
      </c>
      <c r="AA80" s="54"/>
      <c r="AB80" s="54" t="s">
        <v>446</v>
      </c>
      <c r="AC80" s="56" t="b">
        <v>1</v>
      </c>
      <c r="AD80" s="56" t="b">
        <v>0</v>
      </c>
      <c r="AE80" s="54" t="s">
        <v>303</v>
      </c>
      <c r="AF80" s="58">
        <v>46237</v>
      </c>
      <c r="AG80" s="62">
        <v>0</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3.7960000000000001E-2</v>
      </c>
      <c r="BC80" s="60">
        <v>4.2300000000000004</v>
      </c>
      <c r="BD80" s="61">
        <v>6.0295000000000001E-2</v>
      </c>
      <c r="BE80" s="62" t="e">
        <v>#N/A</v>
      </c>
      <c r="BF80" s="35">
        <f t="shared" si="143"/>
        <v>4.0600000000000005</v>
      </c>
      <c r="BG80" s="35">
        <f t="shared" si="143"/>
        <v>6.0295000000000001E-2</v>
      </c>
      <c r="BH80" s="35" t="str">
        <f t="shared" si="132"/>
        <v>?</v>
      </c>
      <c r="BI80" s="110">
        <f t="shared" si="133"/>
        <v>0</v>
      </c>
      <c r="BJ80" s="83">
        <f>VLOOKUP($F80,REP_Info!$D$6:$H$250,5,FALSE)</f>
        <v>3.9169999999999998</v>
      </c>
      <c r="BK80" s="30" t="e">
        <f t="shared" si="134"/>
        <v>#N/A</v>
      </c>
      <c r="BL80" s="30" t="e">
        <f t="shared" si="134"/>
        <v>#N/A</v>
      </c>
      <c r="BM80" s="30" t="e">
        <f t="shared" si="134"/>
        <v>#N/A</v>
      </c>
      <c r="BN80" s="29" t="e">
        <f t="shared" si="134"/>
        <v>#N/A</v>
      </c>
      <c r="BO80" s="85" t="str">
        <f t="shared" si="147"/>
        <v>$$$</v>
      </c>
      <c r="BP80" s="88" t="str">
        <f t="shared" si="135"/>
        <v>$$$</v>
      </c>
      <c r="BQ80" s="88" t="str">
        <f t="shared" si="144"/>
        <v>$$$</v>
      </c>
      <c r="BR80" s="88" t="str">
        <f t="shared" si="145"/>
        <v>$$$</v>
      </c>
      <c r="BS80" s="29" t="e">
        <f t="shared" si="146"/>
        <v>#N/A</v>
      </c>
      <c r="BT80" s="29" t="e">
        <f t="shared" si="146"/>
        <v>#N/A</v>
      </c>
      <c r="BU80" s="29" t="e">
        <f t="shared" si="146"/>
        <v>#N/A</v>
      </c>
      <c r="BV80" s="29" t="e">
        <f t="shared" si="146"/>
        <v>#N/A</v>
      </c>
      <c r="BW80" s="29" t="e">
        <f t="shared" si="146"/>
        <v>#N/A</v>
      </c>
      <c r="BX80" s="29" t="e">
        <f t="shared" si="146"/>
        <v>#N/A</v>
      </c>
      <c r="BY80" s="29" t="e">
        <f t="shared" si="146"/>
        <v>#N/A</v>
      </c>
      <c r="BZ80" s="29" t="e">
        <f t="shared" si="146"/>
        <v>#N/A</v>
      </c>
      <c r="CA80" s="29" t="e">
        <f t="shared" si="146"/>
        <v>#N/A</v>
      </c>
      <c r="CB80" s="29" t="e">
        <f t="shared" si="146"/>
        <v>#N/A</v>
      </c>
      <c r="CC80" s="29" t="e">
        <f t="shared" si="146"/>
        <v>#N/A</v>
      </c>
      <c r="CD80" s="29" t="e">
        <f t="shared" si="146"/>
        <v>#N/A</v>
      </c>
      <c r="CE80" s="6" t="str">
        <f t="shared" si="7"/>
        <v/>
      </c>
      <c r="CF80" s="27" t="e">
        <f>IF(AND(CI80,NOT(AD80)),LOOKUP(CF$5,{0,750,1500},H80:J80),"")</f>
        <v>#N/A</v>
      </c>
      <c r="CG80" s="6" t="str">
        <f t="shared" si="8"/>
        <v/>
      </c>
      <c r="CH80" t="e">
        <f t="shared" si="137"/>
        <v>#N/A</v>
      </c>
      <c r="CI80" t="e">
        <f t="shared" si="138"/>
        <v>#N/A</v>
      </c>
      <c r="CJ80" s="6" t="e">
        <f t="shared" si="148"/>
        <v>#N/A</v>
      </c>
      <c r="CK80" s="6">
        <f t="shared" si="149"/>
        <v>1</v>
      </c>
      <c r="CL80" s="6">
        <f t="shared" si="150"/>
        <v>1</v>
      </c>
      <c r="CM80" s="6">
        <f t="shared" si="151"/>
        <v>1</v>
      </c>
      <c r="CN80" s="6">
        <f t="shared" si="152"/>
        <v>0</v>
      </c>
      <c r="CO80" s="6">
        <f t="shared" si="153"/>
        <v>1</v>
      </c>
      <c r="CP80" s="6">
        <f t="shared" si="154"/>
        <v>1</v>
      </c>
      <c r="CQ80" s="6">
        <f t="shared" si="139"/>
        <v>1</v>
      </c>
      <c r="CR80" s="81" t="str">
        <f t="shared" si="155"/>
        <v/>
      </c>
      <c r="CS80">
        <f t="shared" si="140"/>
        <v>1.6363636363636349</v>
      </c>
      <c r="CT80">
        <f t="shared" si="19"/>
        <v>15</v>
      </c>
      <c r="CU80" t="str">
        <f t="shared" si="156"/>
        <v>rm</v>
      </c>
      <c r="CV80" s="81">
        <f t="shared" si="141"/>
        <v>165</v>
      </c>
      <c r="CW80" s="81">
        <f>(CV80/25)^1.5*(Calculator!$BU$4/10000)*CW$5</f>
        <v>43.781432788851987</v>
      </c>
      <c r="CX80" t="str">
        <f t="shared" si="142"/>
        <v>$15/rm</v>
      </c>
    </row>
    <row r="81" spans="2:102" x14ac:dyDescent="0.25">
      <c r="B81" s="115" t="s">
        <v>233</v>
      </c>
      <c r="C81" s="13">
        <v>46232.244444444441</v>
      </c>
      <c r="D81">
        <v>36117</v>
      </c>
      <c r="E81" s="54" t="s">
        <v>235</v>
      </c>
      <c r="F81" s="54" t="s">
        <v>441</v>
      </c>
      <c r="G81" s="54" t="s">
        <v>1703</v>
      </c>
      <c r="H81" s="55">
        <v>19.400000000000002</v>
      </c>
      <c r="I81" s="55">
        <v>6.4</v>
      </c>
      <c r="J81" s="55">
        <v>12.5</v>
      </c>
      <c r="K81" s="54" t="s">
        <v>1617</v>
      </c>
      <c r="L81" s="56" t="b">
        <v>0</v>
      </c>
      <c r="M81" s="56" t="b">
        <v>0</v>
      </c>
      <c r="N81" s="54">
        <v>1</v>
      </c>
      <c r="O81" s="54" t="s">
        <v>228</v>
      </c>
      <c r="P81" s="54">
        <v>100</v>
      </c>
      <c r="Q81" s="54">
        <v>12</v>
      </c>
      <c r="R81" s="54" t="s">
        <v>454</v>
      </c>
      <c r="S81" s="54" t="s">
        <v>443</v>
      </c>
      <c r="T81" s="54" t="s">
        <v>450</v>
      </c>
      <c r="U81" s="54" t="s">
        <v>2022</v>
      </c>
      <c r="V81" s="54" t="s">
        <v>2033</v>
      </c>
      <c r="W81" s="54" t="b">
        <v>0</v>
      </c>
      <c r="X81" s="54"/>
      <c r="Y81" s="57" t="s">
        <v>2034</v>
      </c>
      <c r="Z81" s="54" t="s">
        <v>1704</v>
      </c>
      <c r="AA81" s="54"/>
      <c r="AB81" s="54" t="s">
        <v>446</v>
      </c>
      <c r="AC81" s="56" t="b">
        <v>1</v>
      </c>
      <c r="AD81" s="56" t="b">
        <v>1</v>
      </c>
      <c r="AE81" s="54" t="s">
        <v>303</v>
      </c>
      <c r="AF81" s="58">
        <v>46231</v>
      </c>
      <c r="AG81" s="62" t="s">
        <v>293</v>
      </c>
      <c r="AH81" s="54">
        <v>0</v>
      </c>
      <c r="AI81" s="54">
        <v>1000</v>
      </c>
      <c r="AJ81" s="54"/>
      <c r="AK81" s="54"/>
      <c r="AL81" s="54"/>
      <c r="AM81" s="54">
        <v>0</v>
      </c>
      <c r="AN81" s="54">
        <v>-125</v>
      </c>
      <c r="AO81" s="54"/>
      <c r="AP81" s="54"/>
      <c r="AQ81" s="54"/>
      <c r="AR81" s="54"/>
      <c r="AS81" s="54"/>
      <c r="AT81" s="54"/>
      <c r="AU81" s="54"/>
      <c r="AV81" s="54"/>
      <c r="AW81" s="54"/>
      <c r="AX81" s="59"/>
      <c r="AY81" s="59"/>
      <c r="AZ81" s="59"/>
      <c r="BA81" s="59"/>
      <c r="BB81" s="59">
        <v>0.1331</v>
      </c>
      <c r="BC81" s="60">
        <v>4.9000000000000004</v>
      </c>
      <c r="BD81" s="61">
        <v>5.1461E-2</v>
      </c>
      <c r="BE81" s="62" t="s">
        <v>293</v>
      </c>
      <c r="BF81" s="35">
        <f t="shared" si="143"/>
        <v>4.9000000000000004</v>
      </c>
      <c r="BG81" s="35">
        <f t="shared" si="143"/>
        <v>5.1461E-2</v>
      </c>
      <c r="BH81" s="35" t="str">
        <f t="shared" si="132"/>
        <v>High</v>
      </c>
      <c r="BI81" s="110">
        <f t="shared" si="133"/>
        <v>0</v>
      </c>
      <c r="BJ81" s="83">
        <f>VLOOKUP($F81,REP_Info!$D$6:$H$250,5,FALSE)</f>
        <v>3.9169999999999998</v>
      </c>
      <c r="BK81" s="30">
        <f t="shared" si="134"/>
        <v>19.4361</v>
      </c>
      <c r="BL81" s="30">
        <f t="shared" si="134"/>
        <v>6.4460999999999995</v>
      </c>
      <c r="BM81" s="30">
        <f t="shared" si="134"/>
        <v>12.4511</v>
      </c>
      <c r="BN81" s="29">
        <f t="shared" si="134"/>
        <v>14.452766666666665</v>
      </c>
      <c r="BO81" s="85" t="str">
        <f t="shared" si="147"/>
        <v>$$$</v>
      </c>
      <c r="BP81" s="88" t="str">
        <f t="shared" si="135"/>
        <v>$$$</v>
      </c>
      <c r="BQ81" s="88" t="str">
        <f t="shared" si="144"/>
        <v>$$$</v>
      </c>
      <c r="BR81" s="88" t="str">
        <f t="shared" si="145"/>
        <v>$$$</v>
      </c>
      <c r="BS81" s="29" t="e">
        <f t="shared" si="146"/>
        <v>#N/A</v>
      </c>
      <c r="BT81" s="29" t="e">
        <f t="shared" si="146"/>
        <v>#N/A</v>
      </c>
      <c r="BU81" s="29" t="e">
        <f t="shared" si="146"/>
        <v>#N/A</v>
      </c>
      <c r="BV81" s="29" t="e">
        <f t="shared" si="146"/>
        <v>#N/A</v>
      </c>
      <c r="BW81" s="29" t="e">
        <f t="shared" si="146"/>
        <v>#N/A</v>
      </c>
      <c r="BX81" s="29" t="e">
        <f t="shared" si="146"/>
        <v>#N/A</v>
      </c>
      <c r="BY81" s="29" t="e">
        <f t="shared" si="146"/>
        <v>#N/A</v>
      </c>
      <c r="BZ81" s="29" t="e">
        <f t="shared" si="146"/>
        <v>#N/A</v>
      </c>
      <c r="CA81" s="29" t="e">
        <f t="shared" si="146"/>
        <v>#N/A</v>
      </c>
      <c r="CB81" s="29" t="e">
        <f t="shared" si="146"/>
        <v>#N/A</v>
      </c>
      <c r="CC81" s="29" t="e">
        <f t="shared" si="146"/>
        <v>#N/A</v>
      </c>
      <c r="CD81" s="29" t="e">
        <f t="shared" si="146"/>
        <v>#N/A</v>
      </c>
      <c r="CE81" s="6" t="str">
        <f t="shared" si="7"/>
        <v/>
      </c>
      <c r="CF81" s="27" t="e">
        <f>IF(AND(CI81,NOT(AD81)),LOOKUP(CF$5,{0,750,1500},H81:J81),"")</f>
        <v>#N/A</v>
      </c>
      <c r="CG81" s="6" t="str">
        <f t="shared" si="8"/>
        <v/>
      </c>
      <c r="CH81" t="e">
        <f t="shared" si="137"/>
        <v>#N/A</v>
      </c>
      <c r="CI81" t="e">
        <f t="shared" si="138"/>
        <v>#N/A</v>
      </c>
      <c r="CJ81" s="6" t="e">
        <f t="shared" si="148"/>
        <v>#N/A</v>
      </c>
      <c r="CK81" s="6">
        <f t="shared" si="149"/>
        <v>1</v>
      </c>
      <c r="CL81" s="6">
        <f t="shared" si="150"/>
        <v>1</v>
      </c>
      <c r="CM81" s="6">
        <f t="shared" si="151"/>
        <v>1</v>
      </c>
      <c r="CN81" s="6">
        <f t="shared" si="152"/>
        <v>1</v>
      </c>
      <c r="CO81" s="6">
        <f t="shared" si="153"/>
        <v>1</v>
      </c>
      <c r="CP81" s="6">
        <f t="shared" si="154"/>
        <v>1</v>
      </c>
      <c r="CQ81" s="6">
        <f t="shared" si="139"/>
        <v>1</v>
      </c>
      <c r="CR81" s="81" t="str">
        <f t="shared" si="155"/>
        <v/>
      </c>
      <c r="CS81">
        <f t="shared" si="140"/>
        <v>0</v>
      </c>
      <c r="CT81">
        <f t="shared" si="19"/>
        <v>15</v>
      </c>
      <c r="CU81" t="str">
        <f t="shared" si="156"/>
        <v>rm</v>
      </c>
      <c r="CV81" s="81">
        <f t="shared" si="141"/>
        <v>180</v>
      </c>
      <c r="CW81" s="81">
        <f>(CV81/25)^1.5*(Calculator!$BU$4/10000)*CW$5</f>
        <v>49.885325635190988</v>
      </c>
      <c r="CX81" t="str">
        <f t="shared" si="142"/>
        <v>$15/rm</v>
      </c>
    </row>
    <row r="82" spans="2:102" x14ac:dyDescent="0.25">
      <c r="B82" s="115" t="s">
        <v>233</v>
      </c>
      <c r="C82" s="13">
        <v>46237.767361111109</v>
      </c>
      <c r="D82">
        <v>36119</v>
      </c>
      <c r="E82" s="54" t="s">
        <v>237</v>
      </c>
      <c r="F82" s="54" t="s">
        <v>441</v>
      </c>
      <c r="G82" s="54" t="s">
        <v>1703</v>
      </c>
      <c r="H82" s="55">
        <v>20</v>
      </c>
      <c r="I82" s="55">
        <v>7.1</v>
      </c>
      <c r="J82" s="55">
        <v>13.100000000000001</v>
      </c>
      <c r="K82" s="54" t="s">
        <v>1617</v>
      </c>
      <c r="L82" s="56" t="b">
        <v>0</v>
      </c>
      <c r="M82" s="56" t="b">
        <v>0</v>
      </c>
      <c r="N82" s="54">
        <v>1</v>
      </c>
      <c r="O82" s="54" t="s">
        <v>228</v>
      </c>
      <c r="P82" s="54">
        <v>100</v>
      </c>
      <c r="Q82" s="54">
        <v>12</v>
      </c>
      <c r="R82" s="54" t="s">
        <v>454</v>
      </c>
      <c r="S82" s="54" t="s">
        <v>443</v>
      </c>
      <c r="T82" s="54" t="s">
        <v>450</v>
      </c>
      <c r="U82" s="54" t="s">
        <v>2209</v>
      </c>
      <c r="V82" s="54" t="s">
        <v>2233</v>
      </c>
      <c r="W82" s="54" t="b">
        <v>0</v>
      </c>
      <c r="X82" s="54"/>
      <c r="Y82" s="57" t="s">
        <v>2234</v>
      </c>
      <c r="Z82" s="54" t="s">
        <v>1705</v>
      </c>
      <c r="AA82" s="54"/>
      <c r="AB82" s="54" t="s">
        <v>446</v>
      </c>
      <c r="AC82" s="56" t="b">
        <v>1</v>
      </c>
      <c r="AD82" s="56" t="b">
        <v>1</v>
      </c>
      <c r="AE82" s="54" t="s">
        <v>303</v>
      </c>
      <c r="AF82" s="58">
        <v>46237</v>
      </c>
      <c r="AG82" s="62" t="s">
        <v>293</v>
      </c>
      <c r="AH82" s="54">
        <v>0</v>
      </c>
      <c r="AI82" s="54">
        <v>1000</v>
      </c>
      <c r="AJ82" s="54"/>
      <c r="AK82" s="54"/>
      <c r="AL82" s="54"/>
      <c r="AM82" s="54">
        <v>0</v>
      </c>
      <c r="AN82" s="54">
        <v>-125</v>
      </c>
      <c r="AO82" s="54"/>
      <c r="AP82" s="54"/>
      <c r="AQ82" s="54"/>
      <c r="AR82" s="54"/>
      <c r="AS82" s="54"/>
      <c r="AT82" s="54"/>
      <c r="AU82" s="54"/>
      <c r="AV82" s="54"/>
      <c r="AW82" s="54"/>
      <c r="AX82" s="59"/>
      <c r="AY82" s="59"/>
      <c r="AZ82" s="59"/>
      <c r="BA82" s="59"/>
      <c r="BB82" s="59">
        <v>0.13120000000000001</v>
      </c>
      <c r="BC82" s="60">
        <v>4.0599999999999996</v>
      </c>
      <c r="BD82" s="61">
        <v>6.0295000000000001E-2</v>
      </c>
      <c r="BE82" s="62" t="s">
        <v>293</v>
      </c>
      <c r="BF82" s="35">
        <f t="shared" si="143"/>
        <v>4.0600000000000005</v>
      </c>
      <c r="BG82" s="35">
        <f t="shared" si="143"/>
        <v>6.0295000000000001E-2</v>
      </c>
      <c r="BH82" s="35" t="str">
        <f t="shared" si="132"/>
        <v>High</v>
      </c>
      <c r="BI82" s="110">
        <f t="shared" si="133"/>
        <v>0</v>
      </c>
      <c r="BJ82" s="83">
        <f>VLOOKUP($F82,REP_Info!$D$6:$H$250,5,FALSE)</f>
        <v>3.9169999999999998</v>
      </c>
      <c r="BK82" s="30">
        <f t="shared" si="134"/>
        <v>19.961500000000001</v>
      </c>
      <c r="BL82" s="30">
        <f t="shared" si="134"/>
        <v>7.0555000000000021</v>
      </c>
      <c r="BM82" s="30">
        <f t="shared" si="134"/>
        <v>13.102500000000004</v>
      </c>
      <c r="BN82" s="29">
        <f t="shared" si="134"/>
        <v>15.118166666666667</v>
      </c>
      <c r="BO82" s="85" t="str">
        <f t="shared" si="147"/>
        <v>$$$</v>
      </c>
      <c r="BP82" s="88" t="str">
        <f t="shared" si="135"/>
        <v>$$$</v>
      </c>
      <c r="BQ82" s="88" t="str">
        <f t="shared" si="144"/>
        <v>$$$</v>
      </c>
      <c r="BR82" s="88" t="str">
        <f t="shared" si="145"/>
        <v>$$$</v>
      </c>
      <c r="BS82" s="29" t="e">
        <f t="shared" si="146"/>
        <v>#N/A</v>
      </c>
      <c r="BT82" s="29" t="e">
        <f t="shared" si="146"/>
        <v>#N/A</v>
      </c>
      <c r="BU82" s="29" t="e">
        <f t="shared" si="146"/>
        <v>#N/A</v>
      </c>
      <c r="BV82" s="29" t="e">
        <f t="shared" si="146"/>
        <v>#N/A</v>
      </c>
      <c r="BW82" s="29" t="e">
        <f t="shared" si="146"/>
        <v>#N/A</v>
      </c>
      <c r="BX82" s="29" t="e">
        <f t="shared" si="146"/>
        <v>#N/A</v>
      </c>
      <c r="BY82" s="29" t="e">
        <f t="shared" si="146"/>
        <v>#N/A</v>
      </c>
      <c r="BZ82" s="29" t="e">
        <f t="shared" si="146"/>
        <v>#N/A</v>
      </c>
      <c r="CA82" s="29" t="e">
        <f t="shared" si="146"/>
        <v>#N/A</v>
      </c>
      <c r="CB82" s="29" t="e">
        <f t="shared" si="146"/>
        <v>#N/A</v>
      </c>
      <c r="CC82" s="29" t="e">
        <f t="shared" si="146"/>
        <v>#N/A</v>
      </c>
      <c r="CD82" s="29" t="e">
        <f t="shared" si="146"/>
        <v>#N/A</v>
      </c>
      <c r="CE82" s="6" t="str">
        <f t="shared" si="7"/>
        <v/>
      </c>
      <c r="CF82" s="27" t="e">
        <f>IF(AND(CI82,NOT(AD82)),LOOKUP(CF$5,{0,750,1500},H82:J82),"")</f>
        <v>#N/A</v>
      </c>
      <c r="CG82" s="6" t="str">
        <f t="shared" si="8"/>
        <v/>
      </c>
      <c r="CH82" t="e">
        <f t="shared" si="137"/>
        <v>#N/A</v>
      </c>
      <c r="CI82" t="e">
        <f t="shared" si="138"/>
        <v>#N/A</v>
      </c>
      <c r="CJ82" s="6" t="e">
        <f t="shared" si="148"/>
        <v>#N/A</v>
      </c>
      <c r="CK82" s="6">
        <f t="shared" si="149"/>
        <v>1</v>
      </c>
      <c r="CL82" s="6">
        <f t="shared" si="150"/>
        <v>1</v>
      </c>
      <c r="CM82" s="6">
        <f t="shared" si="151"/>
        <v>1</v>
      </c>
      <c r="CN82" s="6">
        <f t="shared" si="152"/>
        <v>1</v>
      </c>
      <c r="CO82" s="6">
        <f t="shared" si="153"/>
        <v>1</v>
      </c>
      <c r="CP82" s="6">
        <f t="shared" si="154"/>
        <v>1</v>
      </c>
      <c r="CQ82" s="6">
        <f t="shared" si="139"/>
        <v>1</v>
      </c>
      <c r="CR82" s="81" t="str">
        <f t="shared" si="155"/>
        <v/>
      </c>
      <c r="CS82">
        <f t="shared" si="140"/>
        <v>0</v>
      </c>
      <c r="CT82">
        <f t="shared" si="19"/>
        <v>15</v>
      </c>
      <c r="CU82" t="str">
        <f t="shared" si="156"/>
        <v>rm</v>
      </c>
      <c r="CV82" s="81">
        <f t="shared" si="141"/>
        <v>180</v>
      </c>
      <c r="CW82" s="81">
        <f>(CV82/25)^1.5*(Calculator!$BU$4/10000)*CW$5</f>
        <v>49.885325635190988</v>
      </c>
      <c r="CX82" t="str">
        <f t="shared" si="142"/>
        <v>$15/rm</v>
      </c>
    </row>
    <row r="83" spans="2:102" x14ac:dyDescent="0.25">
      <c r="B83" s="115" t="s">
        <v>233</v>
      </c>
      <c r="C83" s="13">
        <v>46237.767361111109</v>
      </c>
      <c r="D83">
        <v>11680</v>
      </c>
      <c r="E83" s="54" t="s">
        <v>235</v>
      </c>
      <c r="F83" s="54" t="s">
        <v>463</v>
      </c>
      <c r="G83" s="54" t="s">
        <v>2235</v>
      </c>
      <c r="H83" s="55">
        <v>12.8</v>
      </c>
      <c r="I83" s="55">
        <v>12.3</v>
      </c>
      <c r="J83" s="55">
        <v>12</v>
      </c>
      <c r="K83" s="54"/>
      <c r="L83" s="56" t="b">
        <v>0</v>
      </c>
      <c r="M83" s="56" t="b">
        <v>0</v>
      </c>
      <c r="N83" s="54">
        <v>1</v>
      </c>
      <c r="O83" s="54" t="s">
        <v>228</v>
      </c>
      <c r="P83" s="54">
        <v>22</v>
      </c>
      <c r="Q83" s="54">
        <v>12</v>
      </c>
      <c r="R83" s="54">
        <v>150</v>
      </c>
      <c r="S83" s="54" t="s">
        <v>467</v>
      </c>
      <c r="T83" s="54" t="s">
        <v>2236</v>
      </c>
      <c r="U83" s="54" t="s">
        <v>465</v>
      </c>
      <c r="V83" s="54" t="s">
        <v>466</v>
      </c>
      <c r="W83" s="54" t="b">
        <v>0</v>
      </c>
      <c r="X83" s="54"/>
      <c r="Y83" s="57" t="s">
        <v>2237</v>
      </c>
      <c r="Z83" s="54" t="s">
        <v>467</v>
      </c>
      <c r="AA83" s="54"/>
      <c r="AB83" s="54" t="s">
        <v>468</v>
      </c>
      <c r="AC83" s="56" t="b">
        <v>1</v>
      </c>
      <c r="AD83" s="56" t="b">
        <v>0</v>
      </c>
      <c r="AE83" s="54" t="s">
        <v>303</v>
      </c>
      <c r="AF83" s="58">
        <v>46235</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6.6587999999999994E-2</v>
      </c>
      <c r="BC83" s="60"/>
      <c r="BD83" s="61"/>
      <c r="BE83" s="62" t="s">
        <v>293</v>
      </c>
      <c r="BF83" s="35">
        <f t="shared" si="143"/>
        <v>4.9000000000000004</v>
      </c>
      <c r="BG83" s="35">
        <f t="shared" si="143"/>
        <v>5.1461E-2</v>
      </c>
      <c r="BH83" s="35" t="str">
        <f t="shared" si="132"/>
        <v>Low</v>
      </c>
      <c r="BI83" s="110">
        <f t="shared" si="133"/>
        <v>0</v>
      </c>
      <c r="BJ83" s="83">
        <f>VLOOKUP($F83,REP_Info!$D$6:$H$250,5,FALSE)</f>
        <v>1.8160000000000001</v>
      </c>
      <c r="BK83" s="30">
        <f t="shared" si="134"/>
        <v>12.7849</v>
      </c>
      <c r="BL83" s="30">
        <f t="shared" si="134"/>
        <v>12.2949</v>
      </c>
      <c r="BM83" s="30">
        <f t="shared" si="134"/>
        <v>12.049899999999999</v>
      </c>
      <c r="BN83" s="29">
        <f t="shared" si="134"/>
        <v>11.968233333333334</v>
      </c>
      <c r="BO83" s="85" t="str">
        <f t="shared" si="147"/>
        <v>$$$</v>
      </c>
      <c r="BP83" s="88" t="str">
        <f t="shared" si="135"/>
        <v>$$$</v>
      </c>
      <c r="BQ83" s="88" t="str">
        <f t="shared" si="144"/>
        <v>$$$</v>
      </c>
      <c r="BR83" s="88" t="str">
        <f t="shared" si="145"/>
        <v>$$$</v>
      </c>
      <c r="BS83" s="29" t="e">
        <f t="shared" si="146"/>
        <v>#N/A</v>
      </c>
      <c r="BT83" s="29" t="e">
        <f t="shared" si="146"/>
        <v>#N/A</v>
      </c>
      <c r="BU83" s="29" t="e">
        <f t="shared" si="146"/>
        <v>#N/A</v>
      </c>
      <c r="BV83" s="29" t="e">
        <f t="shared" si="146"/>
        <v>#N/A</v>
      </c>
      <c r="BW83" s="29" t="e">
        <f t="shared" si="146"/>
        <v>#N/A</v>
      </c>
      <c r="BX83" s="29" t="e">
        <f t="shared" si="146"/>
        <v>#N/A</v>
      </c>
      <c r="BY83" s="29" t="e">
        <f t="shared" si="146"/>
        <v>#N/A</v>
      </c>
      <c r="BZ83" s="29" t="e">
        <f t="shared" si="146"/>
        <v>#N/A</v>
      </c>
      <c r="CA83" s="29" t="e">
        <f t="shared" si="146"/>
        <v>#N/A</v>
      </c>
      <c r="CB83" s="29" t="e">
        <f t="shared" si="146"/>
        <v>#N/A</v>
      </c>
      <c r="CC83" s="29" t="e">
        <f t="shared" si="146"/>
        <v>#N/A</v>
      </c>
      <c r="CD83" s="29" t="e">
        <f t="shared" si="146"/>
        <v>#N/A</v>
      </c>
      <c r="CE83" s="6" t="str">
        <f t="shared" si="7"/>
        <v/>
      </c>
      <c r="CF83" s="27" t="e">
        <f>IF(AND(CI83,NOT(AD83)),LOOKUP(CF$5,{0,750,1500},H83:J83),"")</f>
        <v>#N/A</v>
      </c>
      <c r="CG83" s="6" t="str">
        <f t="shared" si="8"/>
        <v/>
      </c>
      <c r="CH83" t="e">
        <f t="shared" si="137"/>
        <v>#N/A</v>
      </c>
      <c r="CI83" t="e">
        <f t="shared" si="138"/>
        <v>#N/A</v>
      </c>
      <c r="CJ83" s="6" t="e">
        <f t="shared" si="148"/>
        <v>#N/A</v>
      </c>
      <c r="CK83" s="6">
        <f t="shared" si="149"/>
        <v>1</v>
      </c>
      <c r="CL83" s="6">
        <f t="shared" si="150"/>
        <v>1</v>
      </c>
      <c r="CM83" s="6">
        <f t="shared" si="151"/>
        <v>1</v>
      </c>
      <c r="CN83" s="6">
        <f t="shared" si="152"/>
        <v>1</v>
      </c>
      <c r="CO83" s="6">
        <f t="shared" si="153"/>
        <v>1</v>
      </c>
      <c r="CP83" s="6">
        <f t="shared" si="154"/>
        <v>1</v>
      </c>
      <c r="CQ83" s="6">
        <f t="shared" si="139"/>
        <v>1</v>
      </c>
      <c r="CR83" s="81" t="str">
        <f t="shared" si="155"/>
        <v/>
      </c>
      <c r="CS83">
        <f t="shared" si="140"/>
        <v>0</v>
      </c>
      <c r="CT83">
        <f t="shared" si="19"/>
        <v>150</v>
      </c>
      <c r="CU83" t="str">
        <f t="shared" si="156"/>
        <v/>
      </c>
      <c r="CV83" s="81">
        <f t="shared" si="141"/>
        <v>150</v>
      </c>
      <c r="CW83" s="81">
        <f>(CV83/25)^1.5*(Calculator!$BU$4/10000)*CW$5</f>
        <v>37.949052970673385</v>
      </c>
      <c r="CX83" t="str">
        <f t="shared" si="142"/>
        <v>$150</v>
      </c>
    </row>
    <row r="84" spans="2:102" x14ac:dyDescent="0.25">
      <c r="B84" s="115" t="s">
        <v>233</v>
      </c>
      <c r="C84" s="13">
        <v>46237.767361111109</v>
      </c>
      <c r="D84">
        <v>17379</v>
      </c>
      <c r="E84" s="54" t="s">
        <v>235</v>
      </c>
      <c r="F84" s="54" t="s">
        <v>463</v>
      </c>
      <c r="G84" s="54" t="s">
        <v>2238</v>
      </c>
      <c r="H84" s="55">
        <v>13.4</v>
      </c>
      <c r="I84" s="55">
        <v>12.9</v>
      </c>
      <c r="J84" s="55">
        <v>12.6</v>
      </c>
      <c r="K84" s="54"/>
      <c r="L84" s="56" t="b">
        <v>0</v>
      </c>
      <c r="M84" s="56" t="b">
        <v>0</v>
      </c>
      <c r="N84" s="54">
        <v>1</v>
      </c>
      <c r="O84" s="54" t="s">
        <v>228</v>
      </c>
      <c r="P84" s="54">
        <v>22</v>
      </c>
      <c r="Q84" s="54">
        <v>18</v>
      </c>
      <c r="R84" s="54">
        <v>180</v>
      </c>
      <c r="S84" s="54" t="s">
        <v>464</v>
      </c>
      <c r="T84" s="54" t="s">
        <v>2236</v>
      </c>
      <c r="U84" s="54" t="s">
        <v>2210</v>
      </c>
      <c r="V84" s="54" t="s">
        <v>466</v>
      </c>
      <c r="W84" s="54" t="b">
        <v>0</v>
      </c>
      <c r="X84" s="54"/>
      <c r="Y84" s="57" t="s">
        <v>2239</v>
      </c>
      <c r="Z84" s="54" t="s">
        <v>467</v>
      </c>
      <c r="AA84" s="54"/>
      <c r="AB84" s="54" t="s">
        <v>468</v>
      </c>
      <c r="AC84" s="56" t="b">
        <v>1</v>
      </c>
      <c r="AD84" s="56" t="b">
        <v>0</v>
      </c>
      <c r="AE84" s="54" t="s">
        <v>303</v>
      </c>
      <c r="AF84" s="58">
        <v>46235</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7.2588E-2</v>
      </c>
      <c r="BC84" s="60"/>
      <c r="BD84" s="61"/>
      <c r="BE84" s="62" t="s">
        <v>293</v>
      </c>
      <c r="BF84" s="35">
        <f t="shared" si="143"/>
        <v>4.9000000000000004</v>
      </c>
      <c r="BG84" s="35">
        <f t="shared" si="143"/>
        <v>5.1461E-2</v>
      </c>
      <c r="BH84" s="35" t="str">
        <f t="shared" si="132"/>
        <v>Low</v>
      </c>
      <c r="BI84" s="110">
        <f t="shared" si="133"/>
        <v>0</v>
      </c>
      <c r="BJ84" s="83">
        <f>VLOOKUP($F84,REP_Info!$D$6:$H$250,5,FALSE)</f>
        <v>1.8160000000000001</v>
      </c>
      <c r="BK84" s="30">
        <f t="shared" si="134"/>
        <v>13.3849</v>
      </c>
      <c r="BL84" s="30">
        <f t="shared" si="134"/>
        <v>12.894900000000002</v>
      </c>
      <c r="BM84" s="30">
        <f t="shared" si="134"/>
        <v>12.649899999999999</v>
      </c>
      <c r="BN84" s="29">
        <f t="shared" si="134"/>
        <v>12.568233333333335</v>
      </c>
      <c r="BO84" s="85" t="str">
        <f t="shared" si="147"/>
        <v>$$$</v>
      </c>
      <c r="BP84" s="88" t="str">
        <f t="shared" si="135"/>
        <v>$$$</v>
      </c>
      <c r="BQ84" s="88" t="str">
        <f t="shared" si="144"/>
        <v>$$$</v>
      </c>
      <c r="BR84" s="88" t="str">
        <f t="shared" si="145"/>
        <v>$$$</v>
      </c>
      <c r="BS84" s="29" t="e">
        <f t="shared" si="146"/>
        <v>#N/A</v>
      </c>
      <c r="BT84" s="29" t="e">
        <f t="shared" si="146"/>
        <v>#N/A</v>
      </c>
      <c r="BU84" s="29" t="e">
        <f t="shared" si="146"/>
        <v>#N/A</v>
      </c>
      <c r="BV84" s="29" t="e">
        <f t="shared" si="146"/>
        <v>#N/A</v>
      </c>
      <c r="BW84" s="29" t="e">
        <f t="shared" si="146"/>
        <v>#N/A</v>
      </c>
      <c r="BX84" s="29" t="e">
        <f t="shared" si="146"/>
        <v>#N/A</v>
      </c>
      <c r="BY84" s="29" t="e">
        <f t="shared" si="146"/>
        <v>#N/A</v>
      </c>
      <c r="BZ84" s="29" t="e">
        <f t="shared" si="146"/>
        <v>#N/A</v>
      </c>
      <c r="CA84" s="29" t="e">
        <f t="shared" si="146"/>
        <v>#N/A</v>
      </c>
      <c r="CB84" s="29" t="e">
        <f t="shared" si="146"/>
        <v>#N/A</v>
      </c>
      <c r="CC84" s="29" t="e">
        <f t="shared" si="146"/>
        <v>#N/A</v>
      </c>
      <c r="CD84" s="29" t="e">
        <f t="shared" si="146"/>
        <v>#N/A</v>
      </c>
      <c r="CE84" s="6" t="str">
        <f t="shared" si="7"/>
        <v/>
      </c>
      <c r="CF84" s="27" t="e">
        <f>IF(AND(CI84,NOT(AD84)),LOOKUP(CF$5,{0,750,1500},H84:J84),"")</f>
        <v>#N/A</v>
      </c>
      <c r="CG84" s="6" t="str">
        <f t="shared" si="8"/>
        <v/>
      </c>
      <c r="CH84" t="e">
        <f t="shared" si="137"/>
        <v>#N/A</v>
      </c>
      <c r="CI84" t="e">
        <f t="shared" si="138"/>
        <v>#N/A</v>
      </c>
      <c r="CJ84" s="6" t="e">
        <f t="shared" si="148"/>
        <v>#N/A</v>
      </c>
      <c r="CK84" s="6">
        <f t="shared" si="149"/>
        <v>1</v>
      </c>
      <c r="CL84" s="6">
        <f t="shared" si="150"/>
        <v>1</v>
      </c>
      <c r="CM84" s="6">
        <f t="shared" si="151"/>
        <v>1</v>
      </c>
      <c r="CN84" s="6">
        <f t="shared" si="152"/>
        <v>1</v>
      </c>
      <c r="CO84" s="6">
        <f t="shared" si="153"/>
        <v>0</v>
      </c>
      <c r="CP84" s="6">
        <f t="shared" si="154"/>
        <v>1</v>
      </c>
      <c r="CQ84" s="6">
        <f t="shared" si="139"/>
        <v>1</v>
      </c>
      <c r="CR84" s="81" t="str">
        <f t="shared" si="155"/>
        <v/>
      </c>
      <c r="CS84">
        <f t="shared" si="140"/>
        <v>0</v>
      </c>
      <c r="CT84">
        <f t="shared" si="19"/>
        <v>180</v>
      </c>
      <c r="CU84" t="str">
        <f t="shared" si="156"/>
        <v/>
      </c>
      <c r="CV84" s="81">
        <f t="shared" si="141"/>
        <v>180</v>
      </c>
      <c r="CW84" s="81">
        <f>(CV84/25)^1.5*(Calculator!$BU$4/10000)*CW$5</f>
        <v>49.885325635190988</v>
      </c>
      <c r="CX84" t="str">
        <f t="shared" si="142"/>
        <v>$180</v>
      </c>
    </row>
    <row r="85" spans="2:102" x14ac:dyDescent="0.25">
      <c r="B85" s="115" t="s">
        <v>233</v>
      </c>
      <c r="C85" s="13">
        <v>46237.767361111109</v>
      </c>
      <c r="D85">
        <v>17380</v>
      </c>
      <c r="E85" s="54" t="s">
        <v>237</v>
      </c>
      <c r="F85" s="54" t="s">
        <v>463</v>
      </c>
      <c r="G85" s="54" t="s">
        <v>2238</v>
      </c>
      <c r="H85" s="55">
        <v>14.7</v>
      </c>
      <c r="I85" s="55">
        <v>14.299999999999999</v>
      </c>
      <c r="J85" s="55">
        <v>14.000000000000002</v>
      </c>
      <c r="K85" s="54"/>
      <c r="L85" s="56" t="b">
        <v>0</v>
      </c>
      <c r="M85" s="56" t="b">
        <v>0</v>
      </c>
      <c r="N85" s="54">
        <v>1</v>
      </c>
      <c r="O85" s="54" t="s">
        <v>228</v>
      </c>
      <c r="P85" s="54">
        <v>22</v>
      </c>
      <c r="Q85" s="54">
        <v>18</v>
      </c>
      <c r="R85" s="54">
        <v>180</v>
      </c>
      <c r="S85" s="54" t="s">
        <v>464</v>
      </c>
      <c r="T85" s="54" t="s">
        <v>2236</v>
      </c>
      <c r="U85" s="54" t="s">
        <v>2210</v>
      </c>
      <c r="V85" s="54" t="s">
        <v>466</v>
      </c>
      <c r="W85" s="54" t="b">
        <v>0</v>
      </c>
      <c r="X85" s="54"/>
      <c r="Y85" s="57" t="s">
        <v>2240</v>
      </c>
      <c r="Z85" s="54" t="s">
        <v>2241</v>
      </c>
      <c r="AA85" s="54"/>
      <c r="AB85" s="54" t="s">
        <v>468</v>
      </c>
      <c r="AC85" s="56" t="b">
        <v>1</v>
      </c>
      <c r="AD85" s="56" t="b">
        <v>0</v>
      </c>
      <c r="AE85" s="54" t="s">
        <v>303</v>
      </c>
      <c r="AF85" s="58">
        <v>46235</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7.8173999999999993E-2</v>
      </c>
      <c r="BC85" s="60"/>
      <c r="BD85" s="61"/>
      <c r="BE85" s="62" t="s">
        <v>293</v>
      </c>
      <c r="BF85" s="35">
        <f t="shared" si="143"/>
        <v>4.0600000000000005</v>
      </c>
      <c r="BG85" s="35">
        <f t="shared" si="143"/>
        <v>6.0295000000000001E-2</v>
      </c>
      <c r="BH85" s="35" t="str">
        <f t="shared" si="132"/>
        <v>Low</v>
      </c>
      <c r="BI85" s="110">
        <f t="shared" si="133"/>
        <v>0</v>
      </c>
      <c r="BJ85" s="83">
        <f>VLOOKUP($F85,REP_Info!$D$6:$H$250,5,FALSE)</f>
        <v>1.8160000000000001</v>
      </c>
      <c r="BK85" s="30">
        <f t="shared" si="134"/>
        <v>14.658899999999999</v>
      </c>
      <c r="BL85" s="30">
        <f t="shared" si="134"/>
        <v>14.2529</v>
      </c>
      <c r="BM85" s="30">
        <f t="shared" si="134"/>
        <v>14.049899999999999</v>
      </c>
      <c r="BN85" s="29">
        <f t="shared" si="134"/>
        <v>13.982233333333332</v>
      </c>
      <c r="BO85" s="85" t="str">
        <f t="shared" si="147"/>
        <v>$$$</v>
      </c>
      <c r="BP85" s="88" t="str">
        <f t="shared" si="135"/>
        <v>$$$</v>
      </c>
      <c r="BQ85" s="88" t="str">
        <f t="shared" si="144"/>
        <v>$$$</v>
      </c>
      <c r="BR85" s="88" t="str">
        <f t="shared" si="145"/>
        <v>$$$</v>
      </c>
      <c r="BS85" s="29" t="e">
        <f t="shared" si="146"/>
        <v>#N/A</v>
      </c>
      <c r="BT85" s="29" t="e">
        <f t="shared" si="146"/>
        <v>#N/A</v>
      </c>
      <c r="BU85" s="29" t="e">
        <f t="shared" si="146"/>
        <v>#N/A</v>
      </c>
      <c r="BV85" s="29" t="e">
        <f t="shared" si="146"/>
        <v>#N/A</v>
      </c>
      <c r="BW85" s="29" t="e">
        <f t="shared" si="146"/>
        <v>#N/A</v>
      </c>
      <c r="BX85" s="29" t="e">
        <f t="shared" si="146"/>
        <v>#N/A</v>
      </c>
      <c r="BY85" s="29" t="e">
        <f t="shared" si="146"/>
        <v>#N/A</v>
      </c>
      <c r="BZ85" s="29" t="e">
        <f t="shared" si="146"/>
        <v>#N/A</v>
      </c>
      <c r="CA85" s="29" t="e">
        <f t="shared" si="146"/>
        <v>#N/A</v>
      </c>
      <c r="CB85" s="29" t="e">
        <f t="shared" si="146"/>
        <v>#N/A</v>
      </c>
      <c r="CC85" s="29" t="e">
        <f t="shared" si="146"/>
        <v>#N/A</v>
      </c>
      <c r="CD85" s="29" t="e">
        <f t="shared" si="146"/>
        <v>#N/A</v>
      </c>
      <c r="CE85" s="6" t="str">
        <f t="shared" si="7"/>
        <v/>
      </c>
      <c r="CF85" s="27" t="e">
        <f>IF(AND(CI85,NOT(AD85)),LOOKUP(CF$5,{0,750,1500},H85:J85),"")</f>
        <v>#N/A</v>
      </c>
      <c r="CG85" s="6" t="str">
        <f t="shared" si="8"/>
        <v/>
      </c>
      <c r="CH85" t="e">
        <f t="shared" si="137"/>
        <v>#N/A</v>
      </c>
      <c r="CI85" t="e">
        <f t="shared" si="138"/>
        <v>#N/A</v>
      </c>
      <c r="CJ85" s="6" t="e">
        <f t="shared" si="148"/>
        <v>#N/A</v>
      </c>
      <c r="CK85" s="6">
        <f t="shared" si="149"/>
        <v>1</v>
      </c>
      <c r="CL85" s="6">
        <f t="shared" si="150"/>
        <v>1</v>
      </c>
      <c r="CM85" s="6">
        <f t="shared" si="151"/>
        <v>1</v>
      </c>
      <c r="CN85" s="6">
        <f t="shared" si="152"/>
        <v>1</v>
      </c>
      <c r="CO85" s="6">
        <f t="shared" si="153"/>
        <v>0</v>
      </c>
      <c r="CP85" s="6">
        <f t="shared" si="154"/>
        <v>1</v>
      </c>
      <c r="CQ85" s="6">
        <f t="shared" si="139"/>
        <v>1</v>
      </c>
      <c r="CR85" s="81" t="str">
        <f t="shared" si="155"/>
        <v/>
      </c>
      <c r="CS85">
        <f t="shared" si="140"/>
        <v>0</v>
      </c>
      <c r="CT85">
        <f t="shared" si="19"/>
        <v>180</v>
      </c>
      <c r="CU85" t="str">
        <f t="shared" si="156"/>
        <v/>
      </c>
      <c r="CV85" s="81">
        <f t="shared" si="141"/>
        <v>180</v>
      </c>
      <c r="CW85" s="81">
        <f>(CV85/25)^1.5*(Calculator!$BU$4/10000)*CW$5</f>
        <v>49.885325635190988</v>
      </c>
      <c r="CX85" t="str">
        <f t="shared" si="142"/>
        <v>$180</v>
      </c>
    </row>
    <row r="86" spans="2:102" x14ac:dyDescent="0.25">
      <c r="B86" s="115" t="s">
        <v>233</v>
      </c>
      <c r="C86" s="13">
        <v>46237.767361111109</v>
      </c>
      <c r="D86">
        <v>18366</v>
      </c>
      <c r="E86" s="54" t="s">
        <v>237</v>
      </c>
      <c r="F86" s="54" t="s">
        <v>463</v>
      </c>
      <c r="G86" s="54" t="s">
        <v>2242</v>
      </c>
      <c r="H86" s="55">
        <v>14.299999999999999</v>
      </c>
      <c r="I86" s="55">
        <v>13.900000000000002</v>
      </c>
      <c r="J86" s="55">
        <v>13.600000000000001</v>
      </c>
      <c r="K86" s="54"/>
      <c r="L86" s="56" t="b">
        <v>0</v>
      </c>
      <c r="M86" s="56" t="b">
        <v>0</v>
      </c>
      <c r="N86" s="54">
        <v>1</v>
      </c>
      <c r="O86" s="54" t="s">
        <v>228</v>
      </c>
      <c r="P86" s="54">
        <v>22</v>
      </c>
      <c r="Q86" s="54">
        <v>24</v>
      </c>
      <c r="R86" s="54">
        <v>295</v>
      </c>
      <c r="S86" s="54" t="s">
        <v>464</v>
      </c>
      <c r="T86" s="54" t="s">
        <v>2236</v>
      </c>
      <c r="U86" s="54" t="s">
        <v>465</v>
      </c>
      <c r="V86" s="54" t="s">
        <v>466</v>
      </c>
      <c r="W86" s="54" t="b">
        <v>0</v>
      </c>
      <c r="X86" s="54"/>
      <c r="Y86" s="57" t="s">
        <v>2243</v>
      </c>
      <c r="Z86" s="54" t="s">
        <v>2241</v>
      </c>
      <c r="AA86" s="54"/>
      <c r="AB86" s="54" t="s">
        <v>468</v>
      </c>
      <c r="AC86" s="56" t="b">
        <v>1</v>
      </c>
      <c r="AD86" s="56" t="b">
        <v>0</v>
      </c>
      <c r="AE86" s="54" t="s">
        <v>303</v>
      </c>
      <c r="AF86" s="58">
        <v>46235</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7.4174000000000004E-2</v>
      </c>
      <c r="BC86" s="60"/>
      <c r="BD86" s="61"/>
      <c r="BE86" s="62" t="s">
        <v>293</v>
      </c>
      <c r="BF86" s="35">
        <f t="shared" si="143"/>
        <v>4.0600000000000005</v>
      </c>
      <c r="BG86" s="35">
        <f t="shared" si="143"/>
        <v>6.0295000000000001E-2</v>
      </c>
      <c r="BH86" s="35" t="str">
        <f t="shared" si="132"/>
        <v>Low</v>
      </c>
      <c r="BI86" s="110">
        <f t="shared" si="133"/>
        <v>0</v>
      </c>
      <c r="BJ86" s="83">
        <f>VLOOKUP($F86,REP_Info!$D$6:$H$250,5,FALSE)</f>
        <v>1.8160000000000001</v>
      </c>
      <c r="BK86" s="30">
        <f t="shared" si="134"/>
        <v>14.258899999999999</v>
      </c>
      <c r="BL86" s="30">
        <f t="shared" si="134"/>
        <v>13.8529</v>
      </c>
      <c r="BM86" s="30">
        <f t="shared" si="134"/>
        <v>13.649900000000001</v>
      </c>
      <c r="BN86" s="29">
        <f t="shared" si="134"/>
        <v>13.582233333333333</v>
      </c>
      <c r="BO86" s="85" t="str">
        <f t="shared" si="147"/>
        <v>$$$</v>
      </c>
      <c r="BP86" s="88" t="str">
        <f t="shared" si="135"/>
        <v>$$$</v>
      </c>
      <c r="BQ86" s="88" t="str">
        <f t="shared" si="144"/>
        <v>$$$</v>
      </c>
      <c r="BR86" s="88" t="str">
        <f t="shared" si="145"/>
        <v>$$$</v>
      </c>
      <c r="BS86" s="29" t="e">
        <f t="shared" si="146"/>
        <v>#N/A</v>
      </c>
      <c r="BT86" s="29" t="e">
        <f t="shared" si="146"/>
        <v>#N/A</v>
      </c>
      <c r="BU86" s="29" t="e">
        <f t="shared" si="146"/>
        <v>#N/A</v>
      </c>
      <c r="BV86" s="29" t="e">
        <f t="shared" si="146"/>
        <v>#N/A</v>
      </c>
      <c r="BW86" s="29" t="e">
        <f t="shared" si="146"/>
        <v>#N/A</v>
      </c>
      <c r="BX86" s="29" t="e">
        <f t="shared" si="146"/>
        <v>#N/A</v>
      </c>
      <c r="BY86" s="29" t="e">
        <f t="shared" si="146"/>
        <v>#N/A</v>
      </c>
      <c r="BZ86" s="29" t="e">
        <f t="shared" si="146"/>
        <v>#N/A</v>
      </c>
      <c r="CA86" s="29" t="e">
        <f t="shared" si="146"/>
        <v>#N/A</v>
      </c>
      <c r="CB86" s="29" t="e">
        <f t="shared" si="146"/>
        <v>#N/A</v>
      </c>
      <c r="CC86" s="29" t="e">
        <f t="shared" si="146"/>
        <v>#N/A</v>
      </c>
      <c r="CD86" s="29" t="e">
        <f t="shared" si="146"/>
        <v>#N/A</v>
      </c>
      <c r="CE86" s="6" t="str">
        <f t="shared" si="7"/>
        <v/>
      </c>
      <c r="CF86" s="27" t="e">
        <f>IF(AND(CI86,NOT(AD86)),LOOKUP(CF$5,{0,750,1500},H86:J86),"")</f>
        <v>#N/A</v>
      </c>
      <c r="CG86" s="6" t="str">
        <f t="shared" si="8"/>
        <v/>
      </c>
      <c r="CH86" t="e">
        <f t="shared" si="137"/>
        <v>#N/A</v>
      </c>
      <c r="CI86" t="e">
        <f t="shared" si="138"/>
        <v>#N/A</v>
      </c>
      <c r="CJ86" s="6" t="e">
        <f t="shared" si="148"/>
        <v>#N/A</v>
      </c>
      <c r="CK86" s="6">
        <f t="shared" si="149"/>
        <v>1</v>
      </c>
      <c r="CL86" s="6">
        <f t="shared" si="150"/>
        <v>1</v>
      </c>
      <c r="CM86" s="6">
        <f t="shared" si="151"/>
        <v>1</v>
      </c>
      <c r="CN86" s="6">
        <f t="shared" si="152"/>
        <v>1</v>
      </c>
      <c r="CO86" s="6">
        <f t="shared" si="153"/>
        <v>0</v>
      </c>
      <c r="CP86" s="6">
        <f t="shared" si="154"/>
        <v>1</v>
      </c>
      <c r="CQ86" s="6">
        <f t="shared" si="139"/>
        <v>1</v>
      </c>
      <c r="CR86" s="81" t="str">
        <f t="shared" si="155"/>
        <v/>
      </c>
      <c r="CS86">
        <f t="shared" si="140"/>
        <v>0</v>
      </c>
      <c r="CT86">
        <f t="shared" si="19"/>
        <v>295</v>
      </c>
      <c r="CU86" t="str">
        <f t="shared" si="156"/>
        <v/>
      </c>
      <c r="CV86" s="81">
        <f t="shared" si="141"/>
        <v>295</v>
      </c>
      <c r="CW86" s="81">
        <f>(CV86/25)^1.5*(Calculator!$BU$4/10000)*CW$5</f>
        <v>104.66393961177546</v>
      </c>
      <c r="CX86" t="str">
        <f t="shared" si="142"/>
        <v>$295</v>
      </c>
    </row>
    <row r="87" spans="2:102" x14ac:dyDescent="0.25">
      <c r="B87" s="115" t="s">
        <v>233</v>
      </c>
      <c r="C87" s="13">
        <v>46237.767361111109</v>
      </c>
      <c r="D87">
        <v>18367</v>
      </c>
      <c r="E87" s="54" t="s">
        <v>237</v>
      </c>
      <c r="F87" s="54" t="s">
        <v>463</v>
      </c>
      <c r="G87" s="54" t="s">
        <v>2235</v>
      </c>
      <c r="H87" s="55">
        <v>13.700000000000001</v>
      </c>
      <c r="I87" s="55">
        <v>13.3</v>
      </c>
      <c r="J87" s="55">
        <v>13</v>
      </c>
      <c r="K87" s="54"/>
      <c r="L87" s="56" t="b">
        <v>0</v>
      </c>
      <c r="M87" s="56" t="b">
        <v>0</v>
      </c>
      <c r="N87" s="54">
        <v>1</v>
      </c>
      <c r="O87" s="54" t="s">
        <v>228</v>
      </c>
      <c r="P87" s="54">
        <v>22</v>
      </c>
      <c r="Q87" s="54">
        <v>12</v>
      </c>
      <c r="R87" s="54">
        <v>150</v>
      </c>
      <c r="S87" s="54" t="s">
        <v>464</v>
      </c>
      <c r="T87" s="54" t="s">
        <v>2236</v>
      </c>
      <c r="U87" s="54" t="s">
        <v>465</v>
      </c>
      <c r="V87" s="54" t="s">
        <v>466</v>
      </c>
      <c r="W87" s="54" t="b">
        <v>0</v>
      </c>
      <c r="X87" s="54"/>
      <c r="Y87" s="57" t="s">
        <v>2244</v>
      </c>
      <c r="Z87" s="54" t="s">
        <v>2241</v>
      </c>
      <c r="AA87" s="54"/>
      <c r="AB87" s="54" t="s">
        <v>468</v>
      </c>
      <c r="AC87" s="56" t="b">
        <v>1</v>
      </c>
      <c r="AD87" s="56" t="b">
        <v>0</v>
      </c>
      <c r="AE87" s="54" t="s">
        <v>303</v>
      </c>
      <c r="AF87" s="58">
        <v>46235</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6.8173999999999998E-2</v>
      </c>
      <c r="BC87" s="60"/>
      <c r="BD87" s="61"/>
      <c r="BE87" s="62" t="s">
        <v>293</v>
      </c>
      <c r="BF87" s="35">
        <f t="shared" si="143"/>
        <v>4.0600000000000005</v>
      </c>
      <c r="BG87" s="35">
        <f t="shared" si="143"/>
        <v>6.0295000000000001E-2</v>
      </c>
      <c r="BH87" s="35" t="str">
        <f t="shared" si="132"/>
        <v>Low</v>
      </c>
      <c r="BI87" s="110">
        <f t="shared" si="133"/>
        <v>0</v>
      </c>
      <c r="BJ87" s="83">
        <f>VLOOKUP($F87,REP_Info!$D$6:$H$250,5,FALSE)</f>
        <v>1.8160000000000001</v>
      </c>
      <c r="BK87" s="30">
        <f t="shared" si="134"/>
        <v>13.658899999999999</v>
      </c>
      <c r="BL87" s="30">
        <f t="shared" si="134"/>
        <v>13.2529</v>
      </c>
      <c r="BM87" s="30">
        <f t="shared" si="134"/>
        <v>13.049899999999999</v>
      </c>
      <c r="BN87" s="29">
        <f t="shared" si="134"/>
        <v>12.982233333333332</v>
      </c>
      <c r="BO87" s="85" t="str">
        <f t="shared" si="147"/>
        <v>$$$</v>
      </c>
      <c r="BP87" s="88" t="str">
        <f t="shared" si="135"/>
        <v>$$$</v>
      </c>
      <c r="BQ87" s="88" t="str">
        <f t="shared" si="144"/>
        <v>$$$</v>
      </c>
      <c r="BR87" s="88" t="str">
        <f t="shared" si="145"/>
        <v>$$$</v>
      </c>
      <c r="BS87" s="29" t="e">
        <f t="shared" si="146"/>
        <v>#N/A</v>
      </c>
      <c r="BT87" s="29" t="e">
        <f t="shared" si="146"/>
        <v>#N/A</v>
      </c>
      <c r="BU87" s="29" t="e">
        <f t="shared" si="146"/>
        <v>#N/A</v>
      </c>
      <c r="BV87" s="29" t="e">
        <f t="shared" si="146"/>
        <v>#N/A</v>
      </c>
      <c r="BW87" s="29" t="e">
        <f t="shared" si="146"/>
        <v>#N/A</v>
      </c>
      <c r="BX87" s="29" t="e">
        <f t="shared" si="146"/>
        <v>#N/A</v>
      </c>
      <c r="BY87" s="29" t="e">
        <f t="shared" ref="BS87:CD88" si="157">IF($CI87,IF(BY$7&gt;0,IF(BY$4&gt;$Q87,$BF87+BY$7*(BY$5+$BG87+$BI87),LOOKUP(BY$7,$AH87:$AL87,$AM87:$AQ87)+IF($AG87="Y",SUMPRODUCT($AX87:$BB87-$AW87:$BA87,BY$7-$AR87:$AV87,N(BY$7&gt;$AR87:$AV87)),BY$7*LOOKUP(BY$7,$AR87:$AV87,$AX87:$BB87))+IF($BE87="Y",$BF87,$BC87)+BY$7*IF($BE87="Y",$BG87,$BD87))*100/BY$7,""),NA())</f>
        <v>#N/A</v>
      </c>
      <c r="BZ87" s="29" t="e">
        <f t="shared" si="157"/>
        <v>#N/A</v>
      </c>
      <c r="CA87" s="29" t="e">
        <f t="shared" si="157"/>
        <v>#N/A</v>
      </c>
      <c r="CB87" s="29" t="e">
        <f t="shared" si="157"/>
        <v>#N/A</v>
      </c>
      <c r="CC87" s="29" t="e">
        <f t="shared" si="157"/>
        <v>#N/A</v>
      </c>
      <c r="CD87" s="29" t="e">
        <f t="shared" si="157"/>
        <v>#N/A</v>
      </c>
      <c r="CE87" s="6" t="str">
        <f t="shared" si="7"/>
        <v/>
      </c>
      <c r="CF87" s="27" t="e">
        <f>IF(AND(CI87,NOT(AD87)),LOOKUP(CF$5,{0,750,1500},H87:J87),"")</f>
        <v>#N/A</v>
      </c>
      <c r="CG87" s="6" t="str">
        <f t="shared" si="8"/>
        <v/>
      </c>
      <c r="CH87" t="e">
        <f t="shared" si="137"/>
        <v>#N/A</v>
      </c>
      <c r="CI87" t="e">
        <f t="shared" si="138"/>
        <v>#N/A</v>
      </c>
      <c r="CJ87" s="6" t="e">
        <f t="shared" si="148"/>
        <v>#N/A</v>
      </c>
      <c r="CK87" s="6">
        <f t="shared" si="149"/>
        <v>1</v>
      </c>
      <c r="CL87" s="6">
        <f t="shared" si="150"/>
        <v>1</v>
      </c>
      <c r="CM87" s="6">
        <f t="shared" si="151"/>
        <v>1</v>
      </c>
      <c r="CN87" s="6">
        <f t="shared" si="152"/>
        <v>1</v>
      </c>
      <c r="CO87" s="6">
        <f t="shared" si="153"/>
        <v>1</v>
      </c>
      <c r="CP87" s="6">
        <f t="shared" si="154"/>
        <v>1</v>
      </c>
      <c r="CQ87" s="6">
        <f t="shared" si="139"/>
        <v>1</v>
      </c>
      <c r="CR87" s="81" t="str">
        <f t="shared" si="155"/>
        <v/>
      </c>
      <c r="CS87">
        <f t="shared" si="140"/>
        <v>0</v>
      </c>
      <c r="CT87">
        <f t="shared" si="19"/>
        <v>150</v>
      </c>
      <c r="CU87" t="str">
        <f t="shared" si="156"/>
        <v/>
      </c>
      <c r="CV87" s="81">
        <f t="shared" si="141"/>
        <v>150</v>
      </c>
      <c r="CW87" s="81">
        <f>(CV87/25)^1.5*(Calculator!$BU$4/10000)*CW$5</f>
        <v>37.949052970673385</v>
      </c>
      <c r="CX87" t="str">
        <f t="shared" si="142"/>
        <v>$150</v>
      </c>
    </row>
    <row r="88" spans="2:102" x14ac:dyDescent="0.25">
      <c r="B88" s="115" t="s">
        <v>233</v>
      </c>
      <c r="C88" s="13">
        <v>46237.767361111109</v>
      </c>
      <c r="D88">
        <v>18368</v>
      </c>
      <c r="E88" s="54" t="s">
        <v>235</v>
      </c>
      <c r="F88" s="54" t="s">
        <v>463</v>
      </c>
      <c r="G88" s="54" t="s">
        <v>2242</v>
      </c>
      <c r="H88" s="55">
        <v>13.4</v>
      </c>
      <c r="I88" s="55">
        <v>12.9</v>
      </c>
      <c r="J88" s="55">
        <v>12.6</v>
      </c>
      <c r="K88" s="54"/>
      <c r="L88" s="56" t="b">
        <v>0</v>
      </c>
      <c r="M88" s="56" t="b">
        <v>0</v>
      </c>
      <c r="N88" s="54">
        <v>1</v>
      </c>
      <c r="O88" s="54" t="s">
        <v>228</v>
      </c>
      <c r="P88" s="54">
        <v>22</v>
      </c>
      <c r="Q88" s="54">
        <v>24</v>
      </c>
      <c r="R88" s="54">
        <v>295</v>
      </c>
      <c r="S88" s="54" t="s">
        <v>464</v>
      </c>
      <c r="T88" s="54" t="s">
        <v>2236</v>
      </c>
      <c r="U88" s="54" t="s">
        <v>465</v>
      </c>
      <c r="V88" s="54" t="s">
        <v>466</v>
      </c>
      <c r="W88" s="54" t="b">
        <v>0</v>
      </c>
      <c r="X88" s="54"/>
      <c r="Y88" s="57" t="s">
        <v>2245</v>
      </c>
      <c r="Z88" s="54" t="s">
        <v>467</v>
      </c>
      <c r="AA88" s="54"/>
      <c r="AB88" s="54" t="s">
        <v>468</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143"/>
        <v>4.9000000000000004</v>
      </c>
      <c r="BG88" s="35">
        <f t="shared" si="143"/>
        <v>5.1461E-2</v>
      </c>
      <c r="BH88" s="35" t="str">
        <f t="shared" si="132"/>
        <v>Low</v>
      </c>
      <c r="BI88" s="110">
        <f t="shared" si="133"/>
        <v>0</v>
      </c>
      <c r="BJ88" s="83">
        <f>VLOOKUP($F88,REP_Info!$D$6:$H$250,5,FALSE)</f>
        <v>1.8160000000000001</v>
      </c>
      <c r="BK88" s="30">
        <f t="shared" si="134"/>
        <v>13.3849</v>
      </c>
      <c r="BL88" s="30">
        <f t="shared" si="134"/>
        <v>12.894900000000002</v>
      </c>
      <c r="BM88" s="30">
        <f t="shared" si="134"/>
        <v>12.649899999999999</v>
      </c>
      <c r="BN88" s="29">
        <f t="shared" si="134"/>
        <v>12.568233333333335</v>
      </c>
      <c r="BO88" s="85" t="str">
        <f t="shared" si="147"/>
        <v>$$$</v>
      </c>
      <c r="BP88" s="88" t="str">
        <f t="shared" si="135"/>
        <v>$$$</v>
      </c>
      <c r="BQ88" s="88" t="str">
        <f t="shared" si="144"/>
        <v>$$$</v>
      </c>
      <c r="BR88" s="88" t="str">
        <f t="shared" si="145"/>
        <v>$$$</v>
      </c>
      <c r="BS88" s="29" t="e">
        <f t="shared" si="157"/>
        <v>#N/A</v>
      </c>
      <c r="BT88" s="29" t="e">
        <f t="shared" si="157"/>
        <v>#N/A</v>
      </c>
      <c r="BU88" s="29" t="e">
        <f t="shared" si="157"/>
        <v>#N/A</v>
      </c>
      <c r="BV88" s="29" t="e">
        <f t="shared" si="157"/>
        <v>#N/A</v>
      </c>
      <c r="BW88" s="29" t="e">
        <f t="shared" si="157"/>
        <v>#N/A</v>
      </c>
      <c r="BX88" s="29" t="e">
        <f t="shared" si="157"/>
        <v>#N/A</v>
      </c>
      <c r="BY88" s="29" t="e">
        <f t="shared" si="157"/>
        <v>#N/A</v>
      </c>
      <c r="BZ88" s="29" t="e">
        <f t="shared" si="157"/>
        <v>#N/A</v>
      </c>
      <c r="CA88" s="29" t="e">
        <f t="shared" si="157"/>
        <v>#N/A</v>
      </c>
      <c r="CB88" s="29" t="e">
        <f t="shared" si="157"/>
        <v>#N/A</v>
      </c>
      <c r="CC88" s="29" t="e">
        <f t="shared" si="157"/>
        <v>#N/A</v>
      </c>
      <c r="CD88" s="29" t="e">
        <f t="shared" si="157"/>
        <v>#N/A</v>
      </c>
      <c r="CE88" s="6" t="str">
        <f t="shared" si="7"/>
        <v/>
      </c>
      <c r="CF88" s="27" t="e">
        <f>IF(AND(CI88,NOT(AD88)),LOOKUP(CF$5,{0,750,1500},H88:J88),"")</f>
        <v>#N/A</v>
      </c>
      <c r="CG88" s="6" t="str">
        <f t="shared" si="8"/>
        <v/>
      </c>
      <c r="CH88" t="e">
        <f t="shared" si="137"/>
        <v>#N/A</v>
      </c>
      <c r="CI88" t="e">
        <f t="shared" si="138"/>
        <v>#N/A</v>
      </c>
      <c r="CJ88" s="6" t="e">
        <f t="shared" si="148"/>
        <v>#N/A</v>
      </c>
      <c r="CK88" s="6">
        <f t="shared" si="149"/>
        <v>1</v>
      </c>
      <c r="CL88" s="6">
        <f t="shared" si="150"/>
        <v>1</v>
      </c>
      <c r="CM88" s="6">
        <f t="shared" si="151"/>
        <v>1</v>
      </c>
      <c r="CN88" s="6">
        <f t="shared" si="152"/>
        <v>1</v>
      </c>
      <c r="CO88" s="6">
        <f t="shared" si="153"/>
        <v>0</v>
      </c>
      <c r="CP88" s="6">
        <f t="shared" si="154"/>
        <v>1</v>
      </c>
      <c r="CQ88" s="6">
        <f t="shared" si="139"/>
        <v>1</v>
      </c>
      <c r="CR88" s="81" t="str">
        <f t="shared" si="155"/>
        <v/>
      </c>
      <c r="CS88">
        <f t="shared" si="140"/>
        <v>0</v>
      </c>
      <c r="CT88">
        <f t="shared" si="19"/>
        <v>295</v>
      </c>
      <c r="CU88" t="str">
        <f t="shared" si="156"/>
        <v/>
      </c>
      <c r="CV88" s="81">
        <f t="shared" si="141"/>
        <v>295</v>
      </c>
      <c r="CW88" s="81">
        <f>(CV88/25)^1.5*(Calculator!$BU$4/10000)*CW$5</f>
        <v>104.66393961177546</v>
      </c>
      <c r="CX88" t="str">
        <f t="shared" si="142"/>
        <v>$295</v>
      </c>
    </row>
    <row r="89" spans="2:102" x14ac:dyDescent="0.25">
      <c r="B89" s="115" t="s">
        <v>233</v>
      </c>
      <c r="C89" s="13">
        <v>46237.767361111109</v>
      </c>
      <c r="D89">
        <v>34521</v>
      </c>
      <c r="E89" s="54" t="s">
        <v>235</v>
      </c>
      <c r="F89" s="54" t="s">
        <v>463</v>
      </c>
      <c r="G89" s="54" t="s">
        <v>2246</v>
      </c>
      <c r="H89" s="55">
        <v>12.8</v>
      </c>
      <c r="I89" s="55">
        <v>12.3</v>
      </c>
      <c r="J89" s="55">
        <v>12</v>
      </c>
      <c r="K89" s="54"/>
      <c r="L89" s="56" t="b">
        <v>0</v>
      </c>
      <c r="M89" s="56" t="b">
        <v>0</v>
      </c>
      <c r="N89" s="54">
        <v>1</v>
      </c>
      <c r="O89" s="54" t="s">
        <v>228</v>
      </c>
      <c r="P89" s="54">
        <v>22</v>
      </c>
      <c r="Q89" s="54">
        <v>10</v>
      </c>
      <c r="R89" s="54">
        <v>95</v>
      </c>
      <c r="S89" s="54" t="s">
        <v>464</v>
      </c>
      <c r="T89" s="54"/>
      <c r="U89" s="54" t="s">
        <v>465</v>
      </c>
      <c r="V89" s="54" t="s">
        <v>466</v>
      </c>
      <c r="W89" s="54" t="b">
        <v>0</v>
      </c>
      <c r="X89" s="54"/>
      <c r="Y89" s="57" t="s">
        <v>2247</v>
      </c>
      <c r="Z89" s="54" t="s">
        <v>2248</v>
      </c>
      <c r="AA89" s="54"/>
      <c r="AB89" s="54" t="s">
        <v>468</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6.6587999999999994E-2</v>
      </c>
      <c r="BC89" s="60"/>
      <c r="BD89" s="61"/>
      <c r="BE89" s="62" t="s">
        <v>293</v>
      </c>
      <c r="BF89" s="35">
        <f t="shared" si="0"/>
        <v>4.9000000000000004</v>
      </c>
      <c r="BG89" s="35">
        <f t="shared" si="0"/>
        <v>5.1461E-2</v>
      </c>
      <c r="BH89" s="35" t="str">
        <f t="shared" ref="BH89:BH148" si="158">IF(ISTEXT(BE89),IF(AND(AV89=0,SUM(AN89:AQ89)=0),IF(AM89&lt;=0,IF(BE89="Y","Low","Flat"),"Med"),"High"),"?")</f>
        <v>Low</v>
      </c>
      <c r="BI89" s="110">
        <f t="shared" ref="BI89:BI148" si="159">IF(ISNUMBER(AH89),0*BI$5*SIN((EDATE($A$3,$Q89)-DATE(YEAR(EDATE($A$3,$Q89)),1,0)-BI$4)*2*PI()/365),"")</f>
        <v>0</v>
      </c>
      <c r="BJ89" s="83">
        <f>VLOOKUP($F89,REP_Info!$D$6:$H$250,5,FALSE)</f>
        <v>1.8160000000000001</v>
      </c>
      <c r="BK89" s="30">
        <f t="shared" si="1"/>
        <v>12.7849</v>
      </c>
      <c r="BL89" s="30">
        <f t="shared" si="1"/>
        <v>12.2949</v>
      </c>
      <c r="BM89" s="30">
        <f t="shared" si="1"/>
        <v>12.049899999999999</v>
      </c>
      <c r="BN89" s="29">
        <f t="shared" si="1"/>
        <v>11.968233333333334</v>
      </c>
      <c r="BO89" s="85" t="str">
        <f t="shared" si="2"/>
        <v>$$$</v>
      </c>
      <c r="BP89" s="88" t="str">
        <f t="shared" ref="BP89:BP148" si="160">IFERROR(BO89*100/BO$5,"$$$")</f>
        <v>$$$</v>
      </c>
      <c r="BQ89" s="88" t="str">
        <f t="shared" si="4"/>
        <v>$$$</v>
      </c>
      <c r="BR89" s="88" t="str">
        <f t="shared" si="5"/>
        <v>$$$</v>
      </c>
      <c r="BS89" s="29" t="e">
        <f t="shared" si="6"/>
        <v>#N/A</v>
      </c>
      <c r="BT89" s="29" t="e">
        <f t="shared" si="6"/>
        <v>#N/A</v>
      </c>
      <c r="BU89" s="29" t="e">
        <f t="shared" si="6"/>
        <v>#N/A</v>
      </c>
      <c r="BV89" s="29" t="e">
        <f t="shared" si="6"/>
        <v>#N/A</v>
      </c>
      <c r="BW89" s="29" t="e">
        <f t="shared" si="6"/>
        <v>#N/A</v>
      </c>
      <c r="BX89" s="29" t="e">
        <f t="shared" si="6"/>
        <v>#N/A</v>
      </c>
      <c r="BY89" s="29" t="e">
        <f t="shared" si="6"/>
        <v>#N/A</v>
      </c>
      <c r="BZ89" s="29" t="e">
        <f t="shared" si="6"/>
        <v>#N/A</v>
      </c>
      <c r="CA89" s="29" t="e">
        <f t="shared" si="6"/>
        <v>#N/A</v>
      </c>
      <c r="CB89" s="29" t="e">
        <f t="shared" si="6"/>
        <v>#N/A</v>
      </c>
      <c r="CC89" s="29" t="e">
        <f t="shared" si="6"/>
        <v>#N/A</v>
      </c>
      <c r="CD89" s="29" t="e">
        <f t="shared" si="6"/>
        <v>#N/A</v>
      </c>
      <c r="CE89" s="6" t="str">
        <f t="shared" si="7"/>
        <v/>
      </c>
      <c r="CF89" s="27" t="e">
        <f>IF(AND(CI89,NOT(AD89)),LOOKUP(CF$5,{0,750,1500},H89:J89),"")</f>
        <v>#N/A</v>
      </c>
      <c r="CG89" s="6" t="str">
        <f t="shared" si="8"/>
        <v/>
      </c>
      <c r="CH89" t="e">
        <f t="shared" ref="CH89:CH148" si="161">IF(CI89,IF(ISNUMBER(BO89),BO89,100000)+CV89/10000+IF(ISNUMBER(BJ89),BJ89,2)/10000-P89/100000+ROW()/10000000,"")</f>
        <v>#N/A</v>
      </c>
      <c r="CI89" t="e">
        <f t="shared" ref="CI89:CI148" si="162">PRODUCT(CJ89:CQ89)</f>
        <v>#N/A</v>
      </c>
      <c r="CJ89" s="6" t="e">
        <f t="shared" si="11"/>
        <v>#N/A</v>
      </c>
      <c r="CK89" s="6">
        <f t="shared" si="12"/>
        <v>1</v>
      </c>
      <c r="CL89" s="6">
        <f t="shared" si="26"/>
        <v>1</v>
      </c>
      <c r="CM89" s="6">
        <f t="shared" si="13"/>
        <v>1</v>
      </c>
      <c r="CN89" s="6">
        <f t="shared" si="14"/>
        <v>0</v>
      </c>
      <c r="CO89" s="6">
        <f t="shared" si="15"/>
        <v>1</v>
      </c>
      <c r="CP89" s="6">
        <f t="shared" si="16"/>
        <v>1</v>
      </c>
      <c r="CQ89" s="6">
        <f t="shared" ref="CQ89:CQ148" si="163">IF(CQ$5="Any",1,IF(AND(CQ$5="Med",AV89=0,SUM(AN89:AQ89)=0),1,IF(AND(CQ$5="Low",AV89=0,SUM(AN89:AQ89)=0,AM89=0),1,IF(AND(CQ$5="Flat",AV89=0,SUM(AN89:AQ89)=0,AM89=0,IFERROR(NOT(BE89="Y"),0)),1,0))))</f>
        <v>1</v>
      </c>
      <c r="CR89" s="81" t="str">
        <f t="shared" si="17"/>
        <v/>
      </c>
      <c r="CS89">
        <f t="shared" ref="CS89:CS148" si="164">CS$5*(12/(MIN(12,Q89))-1)</f>
        <v>3.5999999999999992</v>
      </c>
      <c r="CT89">
        <f t="shared" si="19"/>
        <v>95</v>
      </c>
      <c r="CU89" t="str">
        <f t="shared" si="29"/>
        <v/>
      </c>
      <c r="CV89" s="81">
        <f t="shared" ref="CV89:CV148" si="165">CT89*IF(CU89="",1,Q89)</f>
        <v>95</v>
      </c>
      <c r="CW89" s="81">
        <f>(CV89/25)^1.5*(Calculator!$BU$4/10000)*CW$5</f>
        <v>19.127114680457929</v>
      </c>
      <c r="CX89" t="str">
        <f t="shared" ref="CX89:CX148" si="166">"$"&amp;IF(LEFT(CU89,1)="r",CT89&amp;"/"&amp;CU89,CV89)</f>
        <v>$95</v>
      </c>
    </row>
    <row r="90" spans="2:102" x14ac:dyDescent="0.25">
      <c r="B90" s="115" t="s">
        <v>233</v>
      </c>
      <c r="C90" s="13">
        <v>46237.767361111109</v>
      </c>
      <c r="D90">
        <v>34523</v>
      </c>
      <c r="E90" s="54" t="s">
        <v>237</v>
      </c>
      <c r="F90" s="54" t="s">
        <v>463</v>
      </c>
      <c r="G90" s="54" t="s">
        <v>2246</v>
      </c>
      <c r="H90" s="55">
        <v>13.700000000000001</v>
      </c>
      <c r="I90" s="55">
        <v>13.3</v>
      </c>
      <c r="J90" s="55">
        <v>13</v>
      </c>
      <c r="K90" s="54"/>
      <c r="L90" s="56" t="b">
        <v>0</v>
      </c>
      <c r="M90" s="56" t="b">
        <v>0</v>
      </c>
      <c r="N90" s="54">
        <v>1</v>
      </c>
      <c r="O90" s="54" t="s">
        <v>228</v>
      </c>
      <c r="P90" s="54">
        <v>22</v>
      </c>
      <c r="Q90" s="54">
        <v>10</v>
      </c>
      <c r="R90" s="54">
        <v>95</v>
      </c>
      <c r="S90" s="54" t="s">
        <v>464</v>
      </c>
      <c r="T90" s="54"/>
      <c r="U90" s="54" t="s">
        <v>465</v>
      </c>
      <c r="V90" s="54" t="s">
        <v>466</v>
      </c>
      <c r="W90" s="54" t="b">
        <v>0</v>
      </c>
      <c r="X90" s="54"/>
      <c r="Y90" s="57" t="s">
        <v>2249</v>
      </c>
      <c r="Z90" s="54" t="s">
        <v>2248</v>
      </c>
      <c r="AA90" s="54"/>
      <c r="AB90" s="54" t="s">
        <v>468</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6.8173999999999998E-2</v>
      </c>
      <c r="BC90" s="60"/>
      <c r="BD90" s="61"/>
      <c r="BE90" s="62" t="s">
        <v>293</v>
      </c>
      <c r="BF90" s="35">
        <f t="shared" si="0"/>
        <v>4.0600000000000005</v>
      </c>
      <c r="BG90" s="35">
        <f t="shared" si="0"/>
        <v>6.0295000000000001E-2</v>
      </c>
      <c r="BH90" s="35" t="str">
        <f t="shared" si="158"/>
        <v>Low</v>
      </c>
      <c r="BI90" s="110">
        <f t="shared" si="159"/>
        <v>0</v>
      </c>
      <c r="BJ90" s="83">
        <f>VLOOKUP($F90,REP_Info!$D$6:$H$250,5,FALSE)</f>
        <v>1.8160000000000001</v>
      </c>
      <c r="BK90" s="30">
        <f t="shared" si="1"/>
        <v>13.658899999999999</v>
      </c>
      <c r="BL90" s="30">
        <f t="shared" si="1"/>
        <v>13.2529</v>
      </c>
      <c r="BM90" s="30">
        <f t="shared" si="1"/>
        <v>13.049899999999999</v>
      </c>
      <c r="BN90" s="29">
        <f t="shared" si="1"/>
        <v>12.982233333333332</v>
      </c>
      <c r="BO90" s="85" t="str">
        <f t="shared" si="2"/>
        <v>$$$</v>
      </c>
      <c r="BP90" s="88" t="str">
        <f t="shared" si="160"/>
        <v>$$$</v>
      </c>
      <c r="BQ90" s="88" t="str">
        <f t="shared" si="4"/>
        <v>$$$</v>
      </c>
      <c r="BR90" s="88" t="str">
        <f t="shared" si="5"/>
        <v>$$$</v>
      </c>
      <c r="BS90" s="29" t="e">
        <f t="shared" si="6"/>
        <v>#N/A</v>
      </c>
      <c r="BT90" s="29" t="e">
        <f t="shared" si="6"/>
        <v>#N/A</v>
      </c>
      <c r="BU90" s="29" t="e">
        <f t="shared" si="6"/>
        <v>#N/A</v>
      </c>
      <c r="BV90" s="29" t="e">
        <f t="shared" si="6"/>
        <v>#N/A</v>
      </c>
      <c r="BW90" s="29" t="e">
        <f t="shared" si="6"/>
        <v>#N/A</v>
      </c>
      <c r="BX90" s="29" t="e">
        <f t="shared" si="6"/>
        <v>#N/A</v>
      </c>
      <c r="BY90" s="29" t="e">
        <f t="shared" si="6"/>
        <v>#N/A</v>
      </c>
      <c r="BZ90" s="29" t="e">
        <f t="shared" si="6"/>
        <v>#N/A</v>
      </c>
      <c r="CA90" s="29" t="e">
        <f t="shared" si="6"/>
        <v>#N/A</v>
      </c>
      <c r="CB90" s="29" t="e">
        <f t="shared" si="6"/>
        <v>#N/A</v>
      </c>
      <c r="CC90" s="29" t="e">
        <f t="shared" si="6"/>
        <v>#N/A</v>
      </c>
      <c r="CD90" s="29" t="e">
        <f t="shared" si="6"/>
        <v>#N/A</v>
      </c>
      <c r="CE90" s="6" t="str">
        <f t="shared" si="7"/>
        <v/>
      </c>
      <c r="CF90" s="27" t="e">
        <f>IF(AND(CI90,NOT(AD90)),LOOKUP(CF$5,{0,750,1500},H90:J90),"")</f>
        <v>#N/A</v>
      </c>
      <c r="CG90" s="6" t="str">
        <f t="shared" si="8"/>
        <v/>
      </c>
      <c r="CH90" t="e">
        <f t="shared" si="161"/>
        <v>#N/A</v>
      </c>
      <c r="CI90" t="e">
        <f t="shared" si="162"/>
        <v>#N/A</v>
      </c>
      <c r="CJ90" s="6" t="e">
        <f t="shared" si="11"/>
        <v>#N/A</v>
      </c>
      <c r="CK90" s="6">
        <f t="shared" si="12"/>
        <v>1</v>
      </c>
      <c r="CL90" s="6">
        <f t="shared" si="26"/>
        <v>1</v>
      </c>
      <c r="CM90" s="6">
        <f t="shared" si="13"/>
        <v>1</v>
      </c>
      <c r="CN90" s="6">
        <f t="shared" si="14"/>
        <v>0</v>
      </c>
      <c r="CO90" s="6">
        <f t="shared" si="15"/>
        <v>1</v>
      </c>
      <c r="CP90" s="6">
        <f t="shared" si="16"/>
        <v>1</v>
      </c>
      <c r="CQ90" s="6">
        <f t="shared" si="163"/>
        <v>1</v>
      </c>
      <c r="CR90" s="81" t="str">
        <f t="shared" si="17"/>
        <v/>
      </c>
      <c r="CS90">
        <f t="shared" si="164"/>
        <v>3.5999999999999992</v>
      </c>
      <c r="CT90">
        <f t="shared" si="19"/>
        <v>95</v>
      </c>
      <c r="CU90" t="str">
        <f t="shared" si="29"/>
        <v/>
      </c>
      <c r="CV90" s="81">
        <f t="shared" si="165"/>
        <v>95</v>
      </c>
      <c r="CW90" s="81">
        <f>(CV90/25)^1.5*(Calculator!$BU$4/10000)*CW$5</f>
        <v>19.127114680457929</v>
      </c>
      <c r="CX90" t="str">
        <f t="shared" si="166"/>
        <v>$95</v>
      </c>
    </row>
    <row r="91" spans="2:102" x14ac:dyDescent="0.25">
      <c r="B91" s="115" t="s">
        <v>233</v>
      </c>
      <c r="C91" s="13">
        <v>46237.767361111109</v>
      </c>
      <c r="D91">
        <v>37188</v>
      </c>
      <c r="E91" s="54" t="s">
        <v>235</v>
      </c>
      <c r="F91" s="54" t="s">
        <v>463</v>
      </c>
      <c r="G91" s="54" t="s">
        <v>2250</v>
      </c>
      <c r="H91" s="55">
        <v>12.8</v>
      </c>
      <c r="I91" s="55">
        <v>12.3</v>
      </c>
      <c r="J91" s="55">
        <v>12</v>
      </c>
      <c r="K91" s="54"/>
      <c r="L91" s="56" t="b">
        <v>0</v>
      </c>
      <c r="M91" s="56" t="b">
        <v>0</v>
      </c>
      <c r="N91" s="54">
        <v>1</v>
      </c>
      <c r="O91" s="54" t="s">
        <v>228</v>
      </c>
      <c r="P91" s="54">
        <v>22</v>
      </c>
      <c r="Q91" s="54">
        <v>11</v>
      </c>
      <c r="R91" s="54">
        <v>95</v>
      </c>
      <c r="S91" s="54" t="s">
        <v>464</v>
      </c>
      <c r="T91" s="54"/>
      <c r="U91" s="54" t="s">
        <v>465</v>
      </c>
      <c r="V91" s="54" t="s">
        <v>466</v>
      </c>
      <c r="W91" s="54" t="b">
        <v>0</v>
      </c>
      <c r="X91" s="54"/>
      <c r="Y91" s="57" t="s">
        <v>2251</v>
      </c>
      <c r="Z91" s="54" t="s">
        <v>467</v>
      </c>
      <c r="AA91" s="54"/>
      <c r="AB91" s="54" t="s">
        <v>468</v>
      </c>
      <c r="AC91" s="56" t="b">
        <v>1</v>
      </c>
      <c r="AD91" s="56" t="b">
        <v>0</v>
      </c>
      <c r="AE91" s="54" t="s">
        <v>303</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6.6587999999999994E-2</v>
      </c>
      <c r="BC91" s="60"/>
      <c r="BD91" s="61"/>
      <c r="BE91" s="62" t="s">
        <v>293</v>
      </c>
      <c r="BF91" s="35">
        <f t="shared" si="0"/>
        <v>4.9000000000000004</v>
      </c>
      <c r="BG91" s="35">
        <f t="shared" si="0"/>
        <v>5.1461E-2</v>
      </c>
      <c r="BH91" s="35" t="str">
        <f t="shared" si="158"/>
        <v>Low</v>
      </c>
      <c r="BI91" s="110">
        <f t="shared" si="159"/>
        <v>0</v>
      </c>
      <c r="BJ91" s="83">
        <f>VLOOKUP($F91,REP_Info!$D$6:$H$250,5,FALSE)</f>
        <v>1.8160000000000001</v>
      </c>
      <c r="BK91" s="30">
        <f t="shared" si="1"/>
        <v>12.7849</v>
      </c>
      <c r="BL91" s="30">
        <f t="shared" si="1"/>
        <v>12.2949</v>
      </c>
      <c r="BM91" s="30">
        <f t="shared" si="1"/>
        <v>12.049899999999999</v>
      </c>
      <c r="BN91" s="29">
        <f t="shared" si="1"/>
        <v>11.968233333333334</v>
      </c>
      <c r="BO91" s="85" t="str">
        <f t="shared" si="2"/>
        <v>$$$</v>
      </c>
      <c r="BP91" s="88" t="str">
        <f t="shared" si="160"/>
        <v>$$$</v>
      </c>
      <c r="BQ91" s="88" t="str">
        <f t="shared" si="4"/>
        <v>$$$</v>
      </c>
      <c r="BR91" s="88" t="str">
        <f t="shared" si="5"/>
        <v>$$$</v>
      </c>
      <c r="BS91" s="29" t="e">
        <f t="shared" si="6"/>
        <v>#N/A</v>
      </c>
      <c r="BT91" s="29" t="e">
        <f t="shared" si="6"/>
        <v>#N/A</v>
      </c>
      <c r="BU91" s="29" t="e">
        <f t="shared" si="6"/>
        <v>#N/A</v>
      </c>
      <c r="BV91" s="29" t="e">
        <f t="shared" si="6"/>
        <v>#N/A</v>
      </c>
      <c r="BW91" s="29" t="e">
        <f t="shared" si="6"/>
        <v>#N/A</v>
      </c>
      <c r="BX91" s="29" t="e">
        <f t="shared" si="6"/>
        <v>#N/A</v>
      </c>
      <c r="BY91" s="29" t="e">
        <f t="shared" si="6"/>
        <v>#N/A</v>
      </c>
      <c r="BZ91" s="29" t="e">
        <f t="shared" si="6"/>
        <v>#N/A</v>
      </c>
      <c r="CA91" s="29" t="e">
        <f t="shared" si="6"/>
        <v>#N/A</v>
      </c>
      <c r="CB91" s="29" t="e">
        <f t="shared" si="6"/>
        <v>#N/A</v>
      </c>
      <c r="CC91" s="29" t="e">
        <f t="shared" si="6"/>
        <v>#N/A</v>
      </c>
      <c r="CD91" s="29" t="e">
        <f t="shared" si="6"/>
        <v>#N/A</v>
      </c>
      <c r="CE91" s="6" t="str">
        <f t="shared" si="7"/>
        <v/>
      </c>
      <c r="CF91" s="27" t="e">
        <f>IF(AND(CI91,NOT(AD91)),LOOKUP(CF$5,{0,750,1500},H91:J91),"")</f>
        <v>#N/A</v>
      </c>
      <c r="CG91" s="6" t="str">
        <f t="shared" si="8"/>
        <v/>
      </c>
      <c r="CH91" t="e">
        <f t="shared" si="161"/>
        <v>#N/A</v>
      </c>
      <c r="CI91" t="e">
        <f t="shared" si="162"/>
        <v>#N/A</v>
      </c>
      <c r="CJ91" s="6" t="e">
        <f t="shared" si="11"/>
        <v>#N/A</v>
      </c>
      <c r="CK91" s="6">
        <f t="shared" si="12"/>
        <v>1</v>
      </c>
      <c r="CL91" s="6">
        <f t="shared" si="26"/>
        <v>1</v>
      </c>
      <c r="CM91" s="6">
        <f t="shared" si="13"/>
        <v>1</v>
      </c>
      <c r="CN91" s="6">
        <f t="shared" si="14"/>
        <v>0</v>
      </c>
      <c r="CO91" s="6">
        <f t="shared" si="15"/>
        <v>1</v>
      </c>
      <c r="CP91" s="6">
        <f t="shared" si="16"/>
        <v>1</v>
      </c>
      <c r="CQ91" s="6">
        <f t="shared" si="163"/>
        <v>1</v>
      </c>
      <c r="CR91" s="81" t="str">
        <f t="shared" si="17"/>
        <v/>
      </c>
      <c r="CS91">
        <f t="shared" si="164"/>
        <v>1.6363636363636349</v>
      </c>
      <c r="CT91">
        <f t="shared" si="19"/>
        <v>95</v>
      </c>
      <c r="CU91" t="str">
        <f t="shared" si="29"/>
        <v/>
      </c>
      <c r="CV91" s="81">
        <f t="shared" si="165"/>
        <v>95</v>
      </c>
      <c r="CW91" s="81">
        <f>(CV91/25)^1.5*(Calculator!$BU$4/10000)*CW$5</f>
        <v>19.127114680457929</v>
      </c>
      <c r="CX91" t="str">
        <f t="shared" si="166"/>
        <v>$95</v>
      </c>
    </row>
    <row r="92" spans="2:102" x14ac:dyDescent="0.25">
      <c r="B92" s="115" t="s">
        <v>233</v>
      </c>
      <c r="C92" s="13">
        <v>46237.767361111109</v>
      </c>
      <c r="D92">
        <v>37190</v>
      </c>
      <c r="E92" s="54" t="s">
        <v>237</v>
      </c>
      <c r="F92" s="54" t="s">
        <v>463</v>
      </c>
      <c r="G92" s="54" t="s">
        <v>2250</v>
      </c>
      <c r="H92" s="55">
        <v>13.700000000000001</v>
      </c>
      <c r="I92" s="55">
        <v>13.3</v>
      </c>
      <c r="J92" s="55">
        <v>13</v>
      </c>
      <c r="K92" s="54"/>
      <c r="L92" s="56" t="b">
        <v>0</v>
      </c>
      <c r="M92" s="56" t="b">
        <v>0</v>
      </c>
      <c r="N92" s="54">
        <v>1</v>
      </c>
      <c r="O92" s="54" t="s">
        <v>228</v>
      </c>
      <c r="P92" s="54">
        <v>22</v>
      </c>
      <c r="Q92" s="54">
        <v>11</v>
      </c>
      <c r="R92" s="54">
        <v>95</v>
      </c>
      <c r="S92" s="54" t="s">
        <v>464</v>
      </c>
      <c r="T92" s="54"/>
      <c r="U92" s="54" t="s">
        <v>465</v>
      </c>
      <c r="V92" s="54" t="s">
        <v>466</v>
      </c>
      <c r="W92" s="54" t="b">
        <v>0</v>
      </c>
      <c r="X92" s="54"/>
      <c r="Y92" s="57" t="s">
        <v>2252</v>
      </c>
      <c r="Z92" s="54" t="s">
        <v>2241</v>
      </c>
      <c r="AA92" s="54"/>
      <c r="AB92" s="54" t="s">
        <v>468</v>
      </c>
      <c r="AC92" s="56" t="b">
        <v>1</v>
      </c>
      <c r="AD92" s="56" t="b">
        <v>0</v>
      </c>
      <c r="AE92" s="54" t="s">
        <v>303</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0"/>
        <v>4.0600000000000005</v>
      </c>
      <c r="BG92" s="35">
        <f t="shared" si="0"/>
        <v>6.0295000000000001E-2</v>
      </c>
      <c r="BH92" s="35" t="str">
        <f t="shared" si="158"/>
        <v>Low</v>
      </c>
      <c r="BI92" s="110">
        <f t="shared" si="159"/>
        <v>0</v>
      </c>
      <c r="BJ92" s="83">
        <f>VLOOKUP($F92,REP_Info!$D$6:$H$250,5,FALSE)</f>
        <v>1.8160000000000001</v>
      </c>
      <c r="BK92" s="30">
        <f t="shared" si="1"/>
        <v>13.658899999999999</v>
      </c>
      <c r="BL92" s="30">
        <f t="shared" si="1"/>
        <v>13.2529</v>
      </c>
      <c r="BM92" s="30">
        <f t="shared" si="1"/>
        <v>13.049899999999999</v>
      </c>
      <c r="BN92" s="29">
        <f t="shared" si="1"/>
        <v>12.982233333333332</v>
      </c>
      <c r="BO92" s="85" t="str">
        <f t="shared" si="2"/>
        <v>$$$</v>
      </c>
      <c r="BP92" s="88" t="str">
        <f t="shared" si="160"/>
        <v>$$$</v>
      </c>
      <c r="BQ92" s="88" t="str">
        <f t="shared" si="4"/>
        <v>$$$</v>
      </c>
      <c r="BR92" s="88" t="str">
        <f t="shared" si="5"/>
        <v>$$$</v>
      </c>
      <c r="BS92" s="29" t="e">
        <f t="shared" si="6"/>
        <v>#N/A</v>
      </c>
      <c r="BT92" s="29" t="e">
        <f t="shared" si="6"/>
        <v>#N/A</v>
      </c>
      <c r="BU92" s="29" t="e">
        <f t="shared" si="6"/>
        <v>#N/A</v>
      </c>
      <c r="BV92" s="29" t="e">
        <f t="shared" si="6"/>
        <v>#N/A</v>
      </c>
      <c r="BW92" s="29" t="e">
        <f t="shared" si="6"/>
        <v>#N/A</v>
      </c>
      <c r="BX92" s="29" t="e">
        <f t="shared" si="6"/>
        <v>#N/A</v>
      </c>
      <c r="BY92" s="29" t="e">
        <f t="shared" si="6"/>
        <v>#N/A</v>
      </c>
      <c r="BZ92" s="29" t="e">
        <f t="shared" si="6"/>
        <v>#N/A</v>
      </c>
      <c r="CA92" s="29" t="e">
        <f t="shared" si="6"/>
        <v>#N/A</v>
      </c>
      <c r="CB92" s="29" t="e">
        <f t="shared" si="6"/>
        <v>#N/A</v>
      </c>
      <c r="CC92" s="29" t="e">
        <f t="shared" si="6"/>
        <v>#N/A</v>
      </c>
      <c r="CD92" s="29" t="e">
        <f t="shared" si="6"/>
        <v>#N/A</v>
      </c>
      <c r="CE92" s="6" t="str">
        <f t="shared" si="7"/>
        <v/>
      </c>
      <c r="CF92" s="27" t="e">
        <f>IF(AND(CI92,NOT(AD92)),LOOKUP(CF$5,{0,750,1500},H92:J92),"")</f>
        <v>#N/A</v>
      </c>
      <c r="CG92" s="6" t="str">
        <f t="shared" si="8"/>
        <v/>
      </c>
      <c r="CH92" t="e">
        <f t="shared" si="161"/>
        <v>#N/A</v>
      </c>
      <c r="CI92" t="e">
        <f t="shared" si="162"/>
        <v>#N/A</v>
      </c>
      <c r="CJ92" s="6" t="e">
        <f t="shared" si="11"/>
        <v>#N/A</v>
      </c>
      <c r="CK92" s="6">
        <f t="shared" si="12"/>
        <v>1</v>
      </c>
      <c r="CL92" s="6">
        <f t="shared" si="26"/>
        <v>1</v>
      </c>
      <c r="CM92" s="6">
        <f t="shared" si="13"/>
        <v>1</v>
      </c>
      <c r="CN92" s="6">
        <f t="shared" si="14"/>
        <v>0</v>
      </c>
      <c r="CO92" s="6">
        <f t="shared" si="15"/>
        <v>1</v>
      </c>
      <c r="CP92" s="6">
        <f t="shared" si="16"/>
        <v>1</v>
      </c>
      <c r="CQ92" s="6">
        <f t="shared" si="163"/>
        <v>1</v>
      </c>
      <c r="CR92" s="81" t="str">
        <f t="shared" si="17"/>
        <v/>
      </c>
      <c r="CS92">
        <f t="shared" si="164"/>
        <v>1.6363636363636349</v>
      </c>
      <c r="CT92">
        <f t="shared" si="19"/>
        <v>95</v>
      </c>
      <c r="CU92" t="str">
        <f t="shared" si="29"/>
        <v/>
      </c>
      <c r="CV92" s="81">
        <f t="shared" si="165"/>
        <v>95</v>
      </c>
      <c r="CW92" s="81">
        <f>(CV92/25)^1.5*(Calculator!$BU$4/10000)*CW$5</f>
        <v>19.127114680457929</v>
      </c>
      <c r="CX92" t="str">
        <f t="shared" si="166"/>
        <v>$95</v>
      </c>
    </row>
    <row r="93" spans="2:102" x14ac:dyDescent="0.25">
      <c r="B93" s="115" t="s">
        <v>233</v>
      </c>
      <c r="C93" s="13">
        <v>46226.595138888886</v>
      </c>
      <c r="D93">
        <v>27821</v>
      </c>
      <c r="E93" s="54" t="s">
        <v>235</v>
      </c>
      <c r="F93" s="54" t="s">
        <v>469</v>
      </c>
      <c r="G93" s="54" t="s">
        <v>470</v>
      </c>
      <c r="H93" s="55">
        <v>13.5</v>
      </c>
      <c r="I93" s="55">
        <v>13</v>
      </c>
      <c r="J93" s="55">
        <v>12.8</v>
      </c>
      <c r="K93" s="54"/>
      <c r="L93" s="56" t="b">
        <v>0</v>
      </c>
      <c r="M93" s="56" t="b">
        <v>0</v>
      </c>
      <c r="N93" s="54">
        <v>1</v>
      </c>
      <c r="O93" s="54" t="s">
        <v>228</v>
      </c>
      <c r="P93" s="54">
        <v>100</v>
      </c>
      <c r="Q93" s="54">
        <v>12</v>
      </c>
      <c r="R93" s="54">
        <v>150</v>
      </c>
      <c r="S93" s="54" t="s">
        <v>471</v>
      </c>
      <c r="T93" s="54" t="s">
        <v>472</v>
      </c>
      <c r="U93" s="54" t="s">
        <v>1975</v>
      </c>
      <c r="V93" s="54" t="s">
        <v>1982</v>
      </c>
      <c r="W93" s="54" t="b">
        <v>1</v>
      </c>
      <c r="X93" s="54"/>
      <c r="Y93" s="57" t="s">
        <v>1983</v>
      </c>
      <c r="Z93" s="54" t="s">
        <v>1984</v>
      </c>
      <c r="AA93" s="54"/>
      <c r="AB93" s="54" t="s">
        <v>473</v>
      </c>
      <c r="AC93" s="56" t="b">
        <v>1</v>
      </c>
      <c r="AD93" s="56" t="b">
        <v>0</v>
      </c>
      <c r="AE93" s="54" t="s">
        <v>303</v>
      </c>
      <c r="AF93" s="58">
        <v>46212</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7.3999999999999996E-2</v>
      </c>
      <c r="BC93" s="60">
        <v>4.9000000000000004</v>
      </c>
      <c r="BD93" s="61">
        <v>5.1461E-2</v>
      </c>
      <c r="BE93" s="62" t="s">
        <v>293</v>
      </c>
      <c r="BF93" s="35">
        <f t="shared" si="0"/>
        <v>4.9000000000000004</v>
      </c>
      <c r="BG93" s="35">
        <f t="shared" si="0"/>
        <v>5.1461E-2</v>
      </c>
      <c r="BH93" s="35" t="str">
        <f t="shared" si="158"/>
        <v>Low</v>
      </c>
      <c r="BI93" s="110">
        <f t="shared" si="159"/>
        <v>0</v>
      </c>
      <c r="BJ93" s="83">
        <f>VLOOKUP($F93,REP_Info!$D$6:$H$250,5,FALSE)</f>
        <v>0.73699999999999999</v>
      </c>
      <c r="BK93" s="30">
        <f t="shared" si="1"/>
        <v>13.5261</v>
      </c>
      <c r="BL93" s="30">
        <f t="shared" si="1"/>
        <v>13.036099999999999</v>
      </c>
      <c r="BM93" s="30">
        <f t="shared" si="1"/>
        <v>12.7911</v>
      </c>
      <c r="BN93" s="29">
        <f t="shared" si="1"/>
        <v>12.709433333333335</v>
      </c>
      <c r="BO93" s="85" t="str">
        <f t="shared" si="2"/>
        <v>$$$</v>
      </c>
      <c r="BP93" s="88" t="str">
        <f t="shared" si="160"/>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 t="shared" si="7"/>
        <v/>
      </c>
      <c r="CF93" s="27" t="e">
        <f>IF(AND(CI93,NOT(AD93)),LOOKUP(CF$5,{0,750,1500},H93:J93),"")</f>
        <v>#N/A</v>
      </c>
      <c r="CG93" s="6" t="str">
        <f t="shared" si="8"/>
        <v/>
      </c>
      <c r="CH93" t="e">
        <f t="shared" si="161"/>
        <v>#N/A</v>
      </c>
      <c r="CI93" t="e">
        <f t="shared" si="162"/>
        <v>#N/A</v>
      </c>
      <c r="CJ93" s="6" t="e">
        <f t="shared" si="11"/>
        <v>#N/A</v>
      </c>
      <c r="CK93" s="6">
        <f t="shared" si="12"/>
        <v>1</v>
      </c>
      <c r="CL93" s="6">
        <f t="shared" si="26"/>
        <v>1</v>
      </c>
      <c r="CM93" s="6">
        <f t="shared" si="13"/>
        <v>1</v>
      </c>
      <c r="CN93" s="6">
        <f t="shared" si="14"/>
        <v>1</v>
      </c>
      <c r="CO93" s="6">
        <f t="shared" si="15"/>
        <v>1</v>
      </c>
      <c r="CP93" s="6">
        <f t="shared" si="16"/>
        <v>1</v>
      </c>
      <c r="CQ93" s="6">
        <f t="shared" si="163"/>
        <v>1</v>
      </c>
      <c r="CR93" s="81" t="str">
        <f t="shared" si="17"/>
        <v/>
      </c>
      <c r="CS93">
        <f t="shared" si="164"/>
        <v>0</v>
      </c>
      <c r="CT93">
        <f t="shared" si="19"/>
        <v>150</v>
      </c>
      <c r="CU93" t="str">
        <f t="shared" si="29"/>
        <v/>
      </c>
      <c r="CV93" s="81">
        <f t="shared" si="165"/>
        <v>150</v>
      </c>
      <c r="CW93" s="81">
        <f>(CV93/25)^1.5*(Calculator!$BU$4/10000)*CW$5</f>
        <v>37.949052970673385</v>
      </c>
      <c r="CX93" t="str">
        <f t="shared" si="166"/>
        <v>$150</v>
      </c>
    </row>
    <row r="94" spans="2:102" x14ac:dyDescent="0.25">
      <c r="B94" s="115" t="s">
        <v>233</v>
      </c>
      <c r="C94" s="13">
        <v>46226.595138888886</v>
      </c>
      <c r="D94">
        <v>27823</v>
      </c>
      <c r="E94" s="54" t="s">
        <v>235</v>
      </c>
      <c r="F94" s="54" t="s">
        <v>469</v>
      </c>
      <c r="G94" s="54" t="s">
        <v>474</v>
      </c>
      <c r="H94" s="55">
        <v>13.600000000000001</v>
      </c>
      <c r="I94" s="55">
        <v>13.100000000000001</v>
      </c>
      <c r="J94" s="55">
        <v>12.9</v>
      </c>
      <c r="K94" s="54"/>
      <c r="L94" s="56" t="b">
        <v>0</v>
      </c>
      <c r="M94" s="56" t="b">
        <v>0</v>
      </c>
      <c r="N94" s="54">
        <v>1</v>
      </c>
      <c r="O94" s="54" t="s">
        <v>228</v>
      </c>
      <c r="P94" s="54">
        <v>100</v>
      </c>
      <c r="Q94" s="54">
        <v>24</v>
      </c>
      <c r="R94" s="54">
        <v>225</v>
      </c>
      <c r="S94" s="54" t="s">
        <v>471</v>
      </c>
      <c r="T94" s="54" t="s">
        <v>472</v>
      </c>
      <c r="U94" s="54" t="s">
        <v>1977</v>
      </c>
      <c r="V94" s="54" t="s">
        <v>1985</v>
      </c>
      <c r="W94" s="54" t="b">
        <v>1</v>
      </c>
      <c r="X94" s="54"/>
      <c r="Y94" s="57" t="s">
        <v>1986</v>
      </c>
      <c r="Z94" s="54" t="s">
        <v>1987</v>
      </c>
      <c r="AA94" s="54"/>
      <c r="AB94" s="54" t="s">
        <v>473</v>
      </c>
      <c r="AC94" s="56" t="b">
        <v>1</v>
      </c>
      <c r="AD94" s="56" t="b">
        <v>0</v>
      </c>
      <c r="AE94" s="54" t="s">
        <v>303</v>
      </c>
      <c r="AF94" s="58">
        <v>46212</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7.4999999999999997E-2</v>
      </c>
      <c r="BC94" s="60">
        <v>4.9000000000000004</v>
      </c>
      <c r="BD94" s="61">
        <v>5.1461E-2</v>
      </c>
      <c r="BE94" s="62" t="s">
        <v>293</v>
      </c>
      <c r="BF94" s="35">
        <f t="shared" si="0"/>
        <v>4.9000000000000004</v>
      </c>
      <c r="BG94" s="35">
        <f t="shared" si="0"/>
        <v>5.1461E-2</v>
      </c>
      <c r="BH94" s="35" t="str">
        <f t="shared" si="158"/>
        <v>Low</v>
      </c>
      <c r="BI94" s="110">
        <f t="shared" si="159"/>
        <v>0</v>
      </c>
      <c r="BJ94" s="83">
        <f>VLOOKUP($F94,REP_Info!$D$6:$H$250,5,FALSE)</f>
        <v>0.73699999999999999</v>
      </c>
      <c r="BK94" s="30">
        <f t="shared" si="1"/>
        <v>13.626100000000001</v>
      </c>
      <c r="BL94" s="30">
        <f t="shared" si="1"/>
        <v>13.136099999999999</v>
      </c>
      <c r="BM94" s="30">
        <f t="shared" si="1"/>
        <v>12.8911</v>
      </c>
      <c r="BN94" s="29">
        <f t="shared" si="1"/>
        <v>12.809433333333335</v>
      </c>
      <c r="BO94" s="85" t="str">
        <f t="shared" si="2"/>
        <v>$$$</v>
      </c>
      <c r="BP94" s="88" t="str">
        <f t="shared" si="160"/>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 t="shared" si="7"/>
        <v/>
      </c>
      <c r="CF94" s="27" t="e">
        <f>IF(AND(CI94,NOT(AD94)),LOOKUP(CF$5,{0,750,1500},H94:J94),"")</f>
        <v>#N/A</v>
      </c>
      <c r="CG94" s="6" t="str">
        <f t="shared" si="8"/>
        <v/>
      </c>
      <c r="CH94" t="e">
        <f t="shared" si="161"/>
        <v>#N/A</v>
      </c>
      <c r="CI94" t="e">
        <f t="shared" si="162"/>
        <v>#N/A</v>
      </c>
      <c r="CJ94" s="6" t="e">
        <f t="shared" si="11"/>
        <v>#N/A</v>
      </c>
      <c r="CK94" s="6">
        <f t="shared" si="12"/>
        <v>1</v>
      </c>
      <c r="CL94" s="6">
        <f t="shared" si="26"/>
        <v>1</v>
      </c>
      <c r="CM94" s="6">
        <f t="shared" si="13"/>
        <v>1</v>
      </c>
      <c r="CN94" s="6">
        <f t="shared" si="14"/>
        <v>1</v>
      </c>
      <c r="CO94" s="6">
        <f t="shared" si="15"/>
        <v>0</v>
      </c>
      <c r="CP94" s="6">
        <f t="shared" si="16"/>
        <v>1</v>
      </c>
      <c r="CQ94" s="6">
        <f t="shared" si="163"/>
        <v>1</v>
      </c>
      <c r="CR94" s="81" t="str">
        <f t="shared" si="17"/>
        <v/>
      </c>
      <c r="CS94">
        <f t="shared" si="164"/>
        <v>0</v>
      </c>
      <c r="CT94">
        <f t="shared" si="19"/>
        <v>225</v>
      </c>
      <c r="CU94" t="str">
        <f t="shared" si="29"/>
        <v/>
      </c>
      <c r="CV94" s="81">
        <f t="shared" si="165"/>
        <v>225</v>
      </c>
      <c r="CW94" s="81">
        <f>(CV94/25)^1.5*(Calculator!$BU$4/10000)*CW$5</f>
        <v>69.716861999999935</v>
      </c>
      <c r="CX94" t="str">
        <f t="shared" si="166"/>
        <v>$225</v>
      </c>
    </row>
    <row r="95" spans="2:102" x14ac:dyDescent="0.25">
      <c r="B95" s="115" t="s">
        <v>233</v>
      </c>
      <c r="C95" s="13">
        <v>46226.595138888886</v>
      </c>
      <c r="D95">
        <v>27829</v>
      </c>
      <c r="E95" s="54" t="s">
        <v>237</v>
      </c>
      <c r="F95" s="54" t="s">
        <v>469</v>
      </c>
      <c r="G95" s="54" t="s">
        <v>470</v>
      </c>
      <c r="H95" s="55">
        <v>14.299999999999999</v>
      </c>
      <c r="I95" s="55">
        <v>13.900000000000002</v>
      </c>
      <c r="J95" s="55">
        <v>13.700000000000001</v>
      </c>
      <c r="K95" s="54"/>
      <c r="L95" s="56" t="b">
        <v>0</v>
      </c>
      <c r="M95" s="56" t="b">
        <v>0</v>
      </c>
      <c r="N95" s="54">
        <v>1</v>
      </c>
      <c r="O95" s="54" t="s">
        <v>228</v>
      </c>
      <c r="P95" s="54">
        <v>100</v>
      </c>
      <c r="Q95" s="54">
        <v>12</v>
      </c>
      <c r="R95" s="54">
        <v>150</v>
      </c>
      <c r="S95" s="54" t="s">
        <v>471</v>
      </c>
      <c r="T95" s="54" t="s">
        <v>472</v>
      </c>
      <c r="U95" s="54" t="s">
        <v>1978</v>
      </c>
      <c r="V95" s="54" t="s">
        <v>1988</v>
      </c>
      <c r="W95" s="54" t="b">
        <v>1</v>
      </c>
      <c r="X95" s="54"/>
      <c r="Y95" s="57" t="s">
        <v>1989</v>
      </c>
      <c r="Z95" s="54" t="s">
        <v>1990</v>
      </c>
      <c r="AA95" s="54"/>
      <c r="AB95" s="54" t="s">
        <v>473</v>
      </c>
      <c r="AC95" s="56" t="b">
        <v>1</v>
      </c>
      <c r="AD95" s="56" t="b">
        <v>0</v>
      </c>
      <c r="AE95" s="54" t="s">
        <v>303</v>
      </c>
      <c r="AF95" s="58">
        <v>46212</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7.3999999999999996E-2</v>
      </c>
      <c r="BC95" s="60">
        <v>4.0599999999999996</v>
      </c>
      <c r="BD95" s="61">
        <v>6.1196E-2</v>
      </c>
      <c r="BE95" s="62" t="s">
        <v>293</v>
      </c>
      <c r="BF95" s="35">
        <f t="shared" si="0"/>
        <v>4.0600000000000005</v>
      </c>
      <c r="BG95" s="35">
        <f t="shared" si="0"/>
        <v>6.0295000000000001E-2</v>
      </c>
      <c r="BH95" s="35" t="str">
        <f t="shared" si="158"/>
        <v>Low</v>
      </c>
      <c r="BI95" s="110">
        <f t="shared" si="159"/>
        <v>0</v>
      </c>
      <c r="BJ95" s="83">
        <f>VLOOKUP($F95,REP_Info!$D$6:$H$250,5,FALSE)</f>
        <v>0.73699999999999999</v>
      </c>
      <c r="BK95" s="30">
        <f t="shared" si="1"/>
        <v>14.241500000000002</v>
      </c>
      <c r="BL95" s="30">
        <f t="shared" si="1"/>
        <v>13.835500000000001</v>
      </c>
      <c r="BM95" s="30">
        <f t="shared" si="1"/>
        <v>13.632499999999999</v>
      </c>
      <c r="BN95" s="29">
        <f t="shared" si="1"/>
        <v>13.564833333333333</v>
      </c>
      <c r="BO95" s="85" t="str">
        <f t="shared" si="2"/>
        <v>$$$</v>
      </c>
      <c r="BP95" s="88" t="str">
        <f t="shared" si="160"/>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 t="shared" si="7"/>
        <v/>
      </c>
      <c r="CF95" s="27" t="e">
        <f>IF(AND(CI95,NOT(AD95)),LOOKUP(CF$5,{0,750,1500},H95:J95),"")</f>
        <v>#N/A</v>
      </c>
      <c r="CG95" s="6" t="str">
        <f t="shared" si="8"/>
        <v/>
      </c>
      <c r="CH95" t="e">
        <f t="shared" si="161"/>
        <v>#N/A</v>
      </c>
      <c r="CI95" t="e">
        <f t="shared" si="162"/>
        <v>#N/A</v>
      </c>
      <c r="CJ95" s="6" t="e">
        <f t="shared" si="11"/>
        <v>#N/A</v>
      </c>
      <c r="CK95" s="6">
        <f t="shared" si="12"/>
        <v>1</v>
      </c>
      <c r="CL95" s="6">
        <f t="shared" si="26"/>
        <v>1</v>
      </c>
      <c r="CM95" s="6">
        <f t="shared" si="13"/>
        <v>1</v>
      </c>
      <c r="CN95" s="6">
        <f t="shared" si="14"/>
        <v>1</v>
      </c>
      <c r="CO95" s="6">
        <f t="shared" si="15"/>
        <v>1</v>
      </c>
      <c r="CP95" s="6">
        <f t="shared" si="16"/>
        <v>1</v>
      </c>
      <c r="CQ95" s="6">
        <f t="shared" si="163"/>
        <v>1</v>
      </c>
      <c r="CR95" s="81" t="str">
        <f t="shared" si="17"/>
        <v/>
      </c>
      <c r="CS95">
        <f t="shared" si="164"/>
        <v>0</v>
      </c>
      <c r="CT95">
        <f t="shared" si="19"/>
        <v>150</v>
      </c>
      <c r="CU95" t="str">
        <f t="shared" si="29"/>
        <v/>
      </c>
      <c r="CV95" s="81">
        <f t="shared" si="165"/>
        <v>150</v>
      </c>
      <c r="CW95" s="81">
        <f>(CV95/25)^1.5*(Calculator!$BU$4/10000)*CW$5</f>
        <v>37.949052970673385</v>
      </c>
      <c r="CX95" t="str">
        <f t="shared" si="166"/>
        <v>$150</v>
      </c>
    </row>
    <row r="96" spans="2:102" x14ac:dyDescent="0.25">
      <c r="B96" s="115" t="s">
        <v>233</v>
      </c>
      <c r="C96" s="13">
        <v>46226.595138888886</v>
      </c>
      <c r="D96">
        <v>27831</v>
      </c>
      <c r="E96" s="54" t="s">
        <v>237</v>
      </c>
      <c r="F96" s="54" t="s">
        <v>469</v>
      </c>
      <c r="G96" s="54" t="s">
        <v>474</v>
      </c>
      <c r="H96" s="55">
        <v>14.399999999999999</v>
      </c>
      <c r="I96" s="55">
        <v>14.000000000000002</v>
      </c>
      <c r="J96" s="55">
        <v>13.8</v>
      </c>
      <c r="K96" s="54"/>
      <c r="L96" s="56" t="b">
        <v>0</v>
      </c>
      <c r="M96" s="56" t="b">
        <v>0</v>
      </c>
      <c r="N96" s="54">
        <v>1</v>
      </c>
      <c r="O96" s="54" t="s">
        <v>228</v>
      </c>
      <c r="P96" s="54">
        <v>100</v>
      </c>
      <c r="Q96" s="54">
        <v>24</v>
      </c>
      <c r="R96" s="54">
        <v>225</v>
      </c>
      <c r="S96" s="54" t="s">
        <v>471</v>
      </c>
      <c r="T96" s="54" t="s">
        <v>472</v>
      </c>
      <c r="U96" s="54" t="s">
        <v>1979</v>
      </c>
      <c r="V96" s="54" t="s">
        <v>1991</v>
      </c>
      <c r="W96" s="54" t="b">
        <v>1</v>
      </c>
      <c r="X96" s="54"/>
      <c r="Y96" s="57" t="s">
        <v>1992</v>
      </c>
      <c r="Z96" s="54" t="s">
        <v>1993</v>
      </c>
      <c r="AA96" s="54"/>
      <c r="AB96" s="54" t="s">
        <v>473</v>
      </c>
      <c r="AC96" s="56" t="b">
        <v>1</v>
      </c>
      <c r="AD96" s="56" t="b">
        <v>0</v>
      </c>
      <c r="AE96" s="54" t="s">
        <v>303</v>
      </c>
      <c r="AF96" s="58">
        <v>46212</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7.4999999999999997E-2</v>
      </c>
      <c r="BC96" s="60">
        <v>4.0599999999999996</v>
      </c>
      <c r="BD96" s="61">
        <v>6.1196E-2</v>
      </c>
      <c r="BE96" s="62" t="s">
        <v>293</v>
      </c>
      <c r="BF96" s="35">
        <f t="shared" si="0"/>
        <v>4.0600000000000005</v>
      </c>
      <c r="BG96" s="35">
        <f t="shared" si="0"/>
        <v>6.0295000000000001E-2</v>
      </c>
      <c r="BH96" s="35" t="str">
        <f t="shared" si="158"/>
        <v>Low</v>
      </c>
      <c r="BI96" s="110">
        <f t="shared" si="159"/>
        <v>0</v>
      </c>
      <c r="BJ96" s="83">
        <f>VLOOKUP($F96,REP_Info!$D$6:$H$250,5,FALSE)</f>
        <v>0.73699999999999999</v>
      </c>
      <c r="BK96" s="30">
        <f t="shared" si="1"/>
        <v>14.341500000000002</v>
      </c>
      <c r="BL96" s="30">
        <f t="shared" si="1"/>
        <v>13.935500000000001</v>
      </c>
      <c r="BM96" s="30">
        <f t="shared" si="1"/>
        <v>13.732499999999998</v>
      </c>
      <c r="BN96" s="29">
        <f t="shared" si="1"/>
        <v>13.664833333333334</v>
      </c>
      <c r="BO96" s="85" t="str">
        <f t="shared" si="2"/>
        <v>$$$</v>
      </c>
      <c r="BP96" s="88" t="str">
        <f t="shared" si="160"/>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 t="shared" si="7"/>
        <v/>
      </c>
      <c r="CF96" s="27" t="e">
        <f>IF(AND(CI96,NOT(AD96)),LOOKUP(CF$5,{0,750,1500},H96:J96),"")</f>
        <v>#N/A</v>
      </c>
      <c r="CG96" s="6" t="str">
        <f t="shared" si="8"/>
        <v/>
      </c>
      <c r="CH96" t="e">
        <f t="shared" si="161"/>
        <v>#N/A</v>
      </c>
      <c r="CI96" t="e">
        <f t="shared" si="162"/>
        <v>#N/A</v>
      </c>
      <c r="CJ96" s="6" t="e">
        <f t="shared" si="11"/>
        <v>#N/A</v>
      </c>
      <c r="CK96" s="6">
        <f t="shared" si="12"/>
        <v>1</v>
      </c>
      <c r="CL96" s="6">
        <f t="shared" si="26"/>
        <v>1</v>
      </c>
      <c r="CM96" s="6">
        <f t="shared" si="13"/>
        <v>1</v>
      </c>
      <c r="CN96" s="6">
        <f t="shared" si="14"/>
        <v>1</v>
      </c>
      <c r="CO96" s="6">
        <f t="shared" si="15"/>
        <v>0</v>
      </c>
      <c r="CP96" s="6">
        <f t="shared" si="16"/>
        <v>1</v>
      </c>
      <c r="CQ96" s="6">
        <f t="shared" si="163"/>
        <v>1</v>
      </c>
      <c r="CR96" s="81" t="str">
        <f t="shared" si="17"/>
        <v/>
      </c>
      <c r="CS96">
        <f t="shared" si="164"/>
        <v>0</v>
      </c>
      <c r="CT96">
        <f t="shared" si="19"/>
        <v>225</v>
      </c>
      <c r="CU96" t="str">
        <f t="shared" si="29"/>
        <v/>
      </c>
      <c r="CV96" s="81">
        <f t="shared" si="165"/>
        <v>225</v>
      </c>
      <c r="CW96" s="81">
        <f>(CV96/25)^1.5*(Calculator!$BU$4/10000)*CW$5</f>
        <v>69.716861999999935</v>
      </c>
      <c r="CX96" t="str">
        <f t="shared" si="166"/>
        <v>$225</v>
      </c>
    </row>
    <row r="97" spans="2:102" x14ac:dyDescent="0.25">
      <c r="B97" s="115" t="s">
        <v>233</v>
      </c>
      <c r="C97" s="13">
        <v>46226.595138888886</v>
      </c>
      <c r="D97">
        <v>27888</v>
      </c>
      <c r="E97" s="54" t="s">
        <v>235</v>
      </c>
      <c r="F97" s="54" t="s">
        <v>469</v>
      </c>
      <c r="G97" s="54" t="s">
        <v>475</v>
      </c>
      <c r="H97" s="55">
        <v>13.900000000000002</v>
      </c>
      <c r="I97" s="55">
        <v>13.4</v>
      </c>
      <c r="J97" s="55">
        <v>13.200000000000001</v>
      </c>
      <c r="K97" s="54"/>
      <c r="L97" s="56" t="b">
        <v>0</v>
      </c>
      <c r="M97" s="56" t="b">
        <v>0</v>
      </c>
      <c r="N97" s="54">
        <v>1</v>
      </c>
      <c r="O97" s="54" t="s">
        <v>228</v>
      </c>
      <c r="P97" s="54">
        <v>100</v>
      </c>
      <c r="Q97" s="54">
        <v>36</v>
      </c>
      <c r="R97" s="54">
        <v>275</v>
      </c>
      <c r="S97" s="54" t="s">
        <v>471</v>
      </c>
      <c r="T97" s="54" t="s">
        <v>472</v>
      </c>
      <c r="U97" s="54" t="s">
        <v>1980</v>
      </c>
      <c r="V97" s="54" t="s">
        <v>1994</v>
      </c>
      <c r="W97" s="54" t="b">
        <v>1</v>
      </c>
      <c r="X97" s="54"/>
      <c r="Y97" s="57" t="s">
        <v>1995</v>
      </c>
      <c r="Z97" s="54" t="s">
        <v>1996</v>
      </c>
      <c r="AA97" s="54"/>
      <c r="AB97" s="54" t="s">
        <v>473</v>
      </c>
      <c r="AC97" s="56" t="b">
        <v>1</v>
      </c>
      <c r="AD97" s="56" t="b">
        <v>0</v>
      </c>
      <c r="AE97" s="54" t="s">
        <v>303</v>
      </c>
      <c r="AF97" s="58">
        <v>46212</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7.8E-2</v>
      </c>
      <c r="BC97" s="60">
        <v>4.9000000000000004</v>
      </c>
      <c r="BD97" s="61">
        <v>5.1461E-2</v>
      </c>
      <c r="BE97" s="62" t="s">
        <v>293</v>
      </c>
      <c r="BF97" s="35">
        <f t="shared" si="0"/>
        <v>4.9000000000000004</v>
      </c>
      <c r="BG97" s="35">
        <f t="shared" si="0"/>
        <v>5.1461E-2</v>
      </c>
      <c r="BH97" s="35" t="str">
        <f t="shared" si="158"/>
        <v>Low</v>
      </c>
      <c r="BI97" s="110">
        <f t="shared" si="159"/>
        <v>0</v>
      </c>
      <c r="BJ97" s="83">
        <f>VLOOKUP($F97,REP_Info!$D$6:$H$250,5,FALSE)</f>
        <v>0.73699999999999999</v>
      </c>
      <c r="BK97" s="30">
        <f t="shared" si="1"/>
        <v>13.9261</v>
      </c>
      <c r="BL97" s="30">
        <f t="shared" si="1"/>
        <v>13.436099999999998</v>
      </c>
      <c r="BM97" s="30">
        <f t="shared" si="1"/>
        <v>13.1911</v>
      </c>
      <c r="BN97" s="29">
        <f t="shared" si="1"/>
        <v>13.109433333333333</v>
      </c>
      <c r="BO97" s="85" t="str">
        <f t="shared" si="2"/>
        <v>$$$</v>
      </c>
      <c r="BP97" s="88" t="str">
        <f t="shared" si="160"/>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 t="shared" si="7"/>
        <v/>
      </c>
      <c r="CF97" s="27" t="e">
        <f>IF(AND(CI97,NOT(AD97)),LOOKUP(CF$5,{0,750,1500},H97:J97),"")</f>
        <v>#N/A</v>
      </c>
      <c r="CG97" s="6" t="str">
        <f t="shared" si="8"/>
        <v/>
      </c>
      <c r="CH97" t="e">
        <f t="shared" si="161"/>
        <v>#N/A</v>
      </c>
      <c r="CI97" t="e">
        <f t="shared" si="162"/>
        <v>#N/A</v>
      </c>
      <c r="CJ97" s="6" t="e">
        <f t="shared" si="11"/>
        <v>#N/A</v>
      </c>
      <c r="CK97" s="6">
        <f t="shared" si="12"/>
        <v>1</v>
      </c>
      <c r="CL97" s="6">
        <f t="shared" si="26"/>
        <v>1</v>
      </c>
      <c r="CM97" s="6">
        <f t="shared" si="13"/>
        <v>1</v>
      </c>
      <c r="CN97" s="6">
        <f t="shared" si="14"/>
        <v>1</v>
      </c>
      <c r="CO97" s="6">
        <f t="shared" si="15"/>
        <v>0</v>
      </c>
      <c r="CP97" s="6">
        <f t="shared" si="16"/>
        <v>1</v>
      </c>
      <c r="CQ97" s="6">
        <f t="shared" si="163"/>
        <v>1</v>
      </c>
      <c r="CR97" s="81" t="str">
        <f t="shared" si="17"/>
        <v/>
      </c>
      <c r="CS97">
        <f t="shared" si="164"/>
        <v>0</v>
      </c>
      <c r="CT97">
        <f t="shared" si="19"/>
        <v>275</v>
      </c>
      <c r="CU97" t="str">
        <f t="shared" si="29"/>
        <v/>
      </c>
      <c r="CV97" s="81">
        <f t="shared" si="165"/>
        <v>275</v>
      </c>
      <c r="CW97" s="81">
        <f>(CV97/25)^1.5*(Calculator!$BU$4/10000)*CW$5</f>
        <v>94.202644480179572</v>
      </c>
      <c r="CX97" t="str">
        <f t="shared" si="166"/>
        <v>$275</v>
      </c>
    </row>
    <row r="98" spans="2:102" x14ac:dyDescent="0.25">
      <c r="B98" s="115" t="s">
        <v>233</v>
      </c>
      <c r="C98" s="13">
        <v>46226.595138888886</v>
      </c>
      <c r="D98">
        <v>27890</v>
      </c>
      <c r="E98" s="54" t="s">
        <v>237</v>
      </c>
      <c r="F98" s="54" t="s">
        <v>469</v>
      </c>
      <c r="G98" s="54" t="s">
        <v>475</v>
      </c>
      <c r="H98" s="55">
        <v>14.2</v>
      </c>
      <c r="I98" s="55">
        <v>14.299999999999999</v>
      </c>
      <c r="J98" s="55">
        <v>14.099999999999998</v>
      </c>
      <c r="K98" s="54"/>
      <c r="L98" s="56" t="b">
        <v>0</v>
      </c>
      <c r="M98" s="56" t="b">
        <v>0</v>
      </c>
      <c r="N98" s="54">
        <v>1</v>
      </c>
      <c r="O98" s="54" t="s">
        <v>228</v>
      </c>
      <c r="P98" s="54">
        <v>100</v>
      </c>
      <c r="Q98" s="54">
        <v>36</v>
      </c>
      <c r="R98" s="54">
        <v>275</v>
      </c>
      <c r="S98" s="54" t="s">
        <v>471</v>
      </c>
      <c r="T98" s="54" t="s">
        <v>472</v>
      </c>
      <c r="U98" s="54" t="s">
        <v>1981</v>
      </c>
      <c r="V98" s="54" t="s">
        <v>1997</v>
      </c>
      <c r="W98" s="54" t="b">
        <v>1</v>
      </c>
      <c r="X98" s="54"/>
      <c r="Y98" s="57" t="s">
        <v>1998</v>
      </c>
      <c r="Z98" s="54" t="s">
        <v>1999</v>
      </c>
      <c r="AA98" s="54"/>
      <c r="AB98" s="54" t="s">
        <v>473</v>
      </c>
      <c r="AC98" s="56" t="b">
        <v>1</v>
      </c>
      <c r="AD98" s="56" t="b">
        <v>0</v>
      </c>
      <c r="AE98" s="54" t="s">
        <v>303</v>
      </c>
      <c r="AF98" s="58">
        <v>46212</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7.8E-2</v>
      </c>
      <c r="BC98" s="60">
        <v>4.0599999999999996</v>
      </c>
      <c r="BD98" s="61">
        <v>6.1196E-2</v>
      </c>
      <c r="BE98" s="62" t="s">
        <v>293</v>
      </c>
      <c r="BF98" s="35">
        <f t="shared" si="0"/>
        <v>4.0600000000000005</v>
      </c>
      <c r="BG98" s="35">
        <f t="shared" si="0"/>
        <v>6.0295000000000001E-2</v>
      </c>
      <c r="BH98" s="35" t="str">
        <f t="shared" si="158"/>
        <v>Low</v>
      </c>
      <c r="BI98" s="110">
        <f t="shared" si="159"/>
        <v>0</v>
      </c>
      <c r="BJ98" s="83">
        <f>VLOOKUP($F98,REP_Info!$D$6:$H$250,5,FALSE)</f>
        <v>0.73699999999999999</v>
      </c>
      <c r="BK98" s="30">
        <f t="shared" si="1"/>
        <v>14.641500000000002</v>
      </c>
      <c r="BL98" s="30">
        <f t="shared" si="1"/>
        <v>14.235500000000002</v>
      </c>
      <c r="BM98" s="30">
        <f t="shared" si="1"/>
        <v>14.032499999999999</v>
      </c>
      <c r="BN98" s="29">
        <f t="shared" si="1"/>
        <v>13.964833333333333</v>
      </c>
      <c r="BO98" s="85" t="str">
        <f t="shared" si="2"/>
        <v>$$$</v>
      </c>
      <c r="BP98" s="88" t="str">
        <f t="shared" si="160"/>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 t="shared" ref="CE98:CE161" si="167">IF(ISNUMBER(CF98),RANK($CF98,$CF$8:$CF$346,1),"")</f>
        <v/>
      </c>
      <c r="CF98" s="27" t="e">
        <f>IF(AND(CI98,NOT(AD98)),LOOKUP(CF$5,{0,750,1500},H98:J98),"")</f>
        <v>#N/A</v>
      </c>
      <c r="CG98" s="6" t="str">
        <f t="shared" ref="CG98:CG161" si="168">IF(ISNUMBER(CH98),RANK($CH98,$CH$8:$CH$346,1),"")</f>
        <v/>
      </c>
      <c r="CH98" t="e">
        <f t="shared" si="161"/>
        <v>#N/A</v>
      </c>
      <c r="CI98" t="e">
        <f t="shared" si="162"/>
        <v>#N/A</v>
      </c>
      <c r="CJ98" s="6" t="e">
        <f t="shared" si="11"/>
        <v>#N/A</v>
      </c>
      <c r="CK98" s="6">
        <f t="shared" si="12"/>
        <v>1</v>
      </c>
      <c r="CL98" s="6">
        <f t="shared" si="26"/>
        <v>1</v>
      </c>
      <c r="CM98" s="6">
        <f t="shared" si="13"/>
        <v>1</v>
      </c>
      <c r="CN98" s="6">
        <f t="shared" si="14"/>
        <v>1</v>
      </c>
      <c r="CO98" s="6">
        <f t="shared" si="15"/>
        <v>0</v>
      </c>
      <c r="CP98" s="6">
        <f t="shared" si="16"/>
        <v>1</v>
      </c>
      <c r="CQ98" s="6">
        <f t="shared" si="163"/>
        <v>1</v>
      </c>
      <c r="CR98" s="81" t="str">
        <f t="shared" si="17"/>
        <v/>
      </c>
      <c r="CS98">
        <f t="shared" si="164"/>
        <v>0</v>
      </c>
      <c r="CT98">
        <f t="shared" si="19"/>
        <v>275</v>
      </c>
      <c r="CU98" t="str">
        <f t="shared" si="29"/>
        <v/>
      </c>
      <c r="CV98" s="81">
        <f t="shared" si="165"/>
        <v>275</v>
      </c>
      <c r="CW98" s="81">
        <f>(CV98/25)^1.5*(Calculator!$BU$4/10000)*CW$5</f>
        <v>94.202644480179572</v>
      </c>
      <c r="CX98" t="str">
        <f t="shared" si="166"/>
        <v>$275</v>
      </c>
    </row>
    <row r="99" spans="2:102" x14ac:dyDescent="0.25">
      <c r="B99" s="115" t="s">
        <v>233</v>
      </c>
      <c r="C99" s="13">
        <v>46236.341666666667</v>
      </c>
      <c r="D99">
        <v>35775</v>
      </c>
      <c r="E99" s="54" t="s">
        <v>237</v>
      </c>
      <c r="F99" s="54" t="s">
        <v>476</v>
      </c>
      <c r="G99" s="54" t="s">
        <v>477</v>
      </c>
      <c r="H99" s="55">
        <v>12.3</v>
      </c>
      <c r="I99" s="55">
        <v>11.799999999999999</v>
      </c>
      <c r="J99" s="55">
        <v>11.600000000000001</v>
      </c>
      <c r="K99" s="54"/>
      <c r="L99" s="56" t="b">
        <v>0</v>
      </c>
      <c r="M99" s="56" t="b">
        <v>0</v>
      </c>
      <c r="N99" s="54">
        <v>1</v>
      </c>
      <c r="O99" s="54" t="s">
        <v>228</v>
      </c>
      <c r="P99" s="54">
        <v>30</v>
      </c>
      <c r="Q99" s="54">
        <v>12</v>
      </c>
      <c r="R99" s="54">
        <v>150</v>
      </c>
      <c r="S99" s="54" t="s">
        <v>478</v>
      </c>
      <c r="T99" s="54" t="s">
        <v>479</v>
      </c>
      <c r="U99" s="54" t="s">
        <v>480</v>
      </c>
      <c r="V99" s="54" t="s">
        <v>481</v>
      </c>
      <c r="W99" s="54" t="b">
        <v>0</v>
      </c>
      <c r="X99" s="54"/>
      <c r="Y99" s="57" t="s">
        <v>2157</v>
      </c>
      <c r="Z99" s="54" t="s">
        <v>482</v>
      </c>
      <c r="AA99" s="54"/>
      <c r="AB99" s="54" t="s">
        <v>483</v>
      </c>
      <c r="AC99" s="56" t="b">
        <v>1</v>
      </c>
      <c r="AD99" s="56" t="b">
        <v>0</v>
      </c>
      <c r="AE99" s="54" t="s">
        <v>303</v>
      </c>
      <c r="AF99" s="58">
        <v>46235</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5.4100000000000002E-2</v>
      </c>
      <c r="BC99" s="60">
        <v>4.0599999999999996</v>
      </c>
      <c r="BD99" s="61">
        <v>6.0295000000000001E-2</v>
      </c>
      <c r="BE99" s="62" t="s">
        <v>293</v>
      </c>
      <c r="BF99" s="35">
        <f t="shared" si="0"/>
        <v>4.0600000000000005</v>
      </c>
      <c r="BG99" s="35">
        <f t="shared" si="0"/>
        <v>6.0295000000000001E-2</v>
      </c>
      <c r="BH99" s="35" t="str">
        <f t="shared" si="158"/>
        <v>Low</v>
      </c>
      <c r="BI99" s="110">
        <f t="shared" si="159"/>
        <v>0</v>
      </c>
      <c r="BJ99" s="83" t="str">
        <f>VLOOKUP($F99,REP_Info!$D$6:$H$250,5,FALSE)</f>
        <v/>
      </c>
      <c r="BK99" s="30">
        <f t="shared" si="1"/>
        <v>12.2515</v>
      </c>
      <c r="BL99" s="30">
        <f t="shared" si="1"/>
        <v>11.845500000000001</v>
      </c>
      <c r="BM99" s="30">
        <f t="shared" si="1"/>
        <v>11.642500000000002</v>
      </c>
      <c r="BN99" s="29">
        <f t="shared" si="1"/>
        <v>11.574833333333334</v>
      </c>
      <c r="BO99" s="85" t="str">
        <f t="shared" si="2"/>
        <v>$$$</v>
      </c>
      <c r="BP99" s="88" t="str">
        <f t="shared" si="160"/>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 t="shared" si="167"/>
        <v/>
      </c>
      <c r="CF99" s="27" t="e">
        <f>IF(AND(CI99,NOT(AD99)),LOOKUP(CF$5,{0,750,1500},H99:J99),"")</f>
        <v>#N/A</v>
      </c>
      <c r="CG99" s="6" t="str">
        <f t="shared" si="168"/>
        <v/>
      </c>
      <c r="CH99" t="e">
        <f t="shared" si="161"/>
        <v>#N/A</v>
      </c>
      <c r="CI99" t="e">
        <f t="shared" si="162"/>
        <v>#N/A</v>
      </c>
      <c r="CJ99" s="6" t="e">
        <f t="shared" si="11"/>
        <v>#N/A</v>
      </c>
      <c r="CK99" s="6">
        <f t="shared" si="12"/>
        <v>1</v>
      </c>
      <c r="CL99" s="6">
        <f t="shared" si="26"/>
        <v>1</v>
      </c>
      <c r="CM99" s="6">
        <f t="shared" si="13"/>
        <v>1</v>
      </c>
      <c r="CN99" s="6">
        <f t="shared" si="14"/>
        <v>1</v>
      </c>
      <c r="CO99" s="6">
        <f t="shared" si="15"/>
        <v>1</v>
      </c>
      <c r="CP99" s="6">
        <f t="shared" si="16"/>
        <v>1</v>
      </c>
      <c r="CQ99" s="6">
        <f t="shared" si="163"/>
        <v>1</v>
      </c>
      <c r="CR99" s="81" t="str">
        <f t="shared" si="17"/>
        <v/>
      </c>
      <c r="CS99">
        <f t="shared" si="164"/>
        <v>0</v>
      </c>
      <c r="CT99">
        <f t="shared" si="19"/>
        <v>150</v>
      </c>
      <c r="CU99" t="str">
        <f t="shared" si="29"/>
        <v/>
      </c>
      <c r="CV99" s="81">
        <f t="shared" si="165"/>
        <v>150</v>
      </c>
      <c r="CW99" s="81">
        <f>(CV99/25)^1.5*(Calculator!$BU$4/10000)*CW$5</f>
        <v>37.949052970673385</v>
      </c>
      <c r="CX99" t="str">
        <f t="shared" si="166"/>
        <v>$150</v>
      </c>
    </row>
    <row r="100" spans="2:102" x14ac:dyDescent="0.25">
      <c r="B100" s="115" t="s">
        <v>233</v>
      </c>
      <c r="C100" s="13">
        <v>46232.244444444441</v>
      </c>
      <c r="D100">
        <v>35777</v>
      </c>
      <c r="E100" s="54" t="s">
        <v>235</v>
      </c>
      <c r="F100" s="54" t="s">
        <v>476</v>
      </c>
      <c r="G100" s="54" t="s">
        <v>477</v>
      </c>
      <c r="H100" s="55">
        <v>11.700000000000001</v>
      </c>
      <c r="I100" s="55">
        <v>11.200000000000001</v>
      </c>
      <c r="J100" s="55">
        <v>11</v>
      </c>
      <c r="K100" s="54"/>
      <c r="L100" s="56" t="b">
        <v>0</v>
      </c>
      <c r="M100" s="56" t="b">
        <v>0</v>
      </c>
      <c r="N100" s="54">
        <v>1</v>
      </c>
      <c r="O100" s="54" t="s">
        <v>228</v>
      </c>
      <c r="P100" s="54">
        <v>30</v>
      </c>
      <c r="Q100" s="54">
        <v>12</v>
      </c>
      <c r="R100" s="54">
        <v>150</v>
      </c>
      <c r="S100" s="54" t="s">
        <v>484</v>
      </c>
      <c r="T100" s="54" t="s">
        <v>479</v>
      </c>
      <c r="U100" s="54" t="s">
        <v>480</v>
      </c>
      <c r="V100" s="54" t="s">
        <v>481</v>
      </c>
      <c r="W100" s="54" t="b">
        <v>0</v>
      </c>
      <c r="X100" s="54"/>
      <c r="Y100" s="57" t="s">
        <v>2035</v>
      </c>
      <c r="Z100" s="54" t="s">
        <v>485</v>
      </c>
      <c r="AA100" s="54"/>
      <c r="AB100" s="54" t="s">
        <v>483</v>
      </c>
      <c r="AC100" s="56" t="b">
        <v>1</v>
      </c>
      <c r="AD100" s="56" t="b">
        <v>0</v>
      </c>
      <c r="AE100" s="54" t="s">
        <v>303</v>
      </c>
      <c r="AF100" s="58">
        <v>46232</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5.6000000000000001E-2</v>
      </c>
      <c r="BC100" s="60">
        <v>4.9000000000000004</v>
      </c>
      <c r="BD100" s="61">
        <v>5.1461E-2</v>
      </c>
      <c r="BE100" s="62" t="s">
        <v>293</v>
      </c>
      <c r="BF100" s="35">
        <f t="shared" si="0"/>
        <v>4.9000000000000004</v>
      </c>
      <c r="BG100" s="35">
        <f t="shared" si="0"/>
        <v>5.1461E-2</v>
      </c>
      <c r="BH100" s="35" t="str">
        <f t="shared" si="158"/>
        <v>Low</v>
      </c>
      <c r="BI100" s="110">
        <f t="shared" si="159"/>
        <v>0</v>
      </c>
      <c r="BJ100" s="83" t="str">
        <f>VLOOKUP($F100,REP_Info!$D$6:$H$250,5,FALSE)</f>
        <v/>
      </c>
      <c r="BK100" s="30">
        <f t="shared" si="1"/>
        <v>11.726100000000001</v>
      </c>
      <c r="BL100" s="30">
        <f t="shared" si="1"/>
        <v>11.236099999999999</v>
      </c>
      <c r="BM100" s="30">
        <f t="shared" si="1"/>
        <v>10.991100000000001</v>
      </c>
      <c r="BN100" s="29">
        <f t="shared" si="1"/>
        <v>10.909433333333334</v>
      </c>
      <c r="BO100" s="85" t="str">
        <f t="shared" si="2"/>
        <v>$$$</v>
      </c>
      <c r="BP100" s="88" t="str">
        <f t="shared" si="160"/>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 t="shared" si="167"/>
        <v/>
      </c>
      <c r="CF100" s="27" t="e">
        <f>IF(AND(CI100,NOT(AD100)),LOOKUP(CF$5,{0,750,1500},H100:J100),"")</f>
        <v>#N/A</v>
      </c>
      <c r="CG100" s="6" t="str">
        <f t="shared" si="168"/>
        <v/>
      </c>
      <c r="CH100" t="e">
        <f t="shared" si="161"/>
        <v>#N/A</v>
      </c>
      <c r="CI100" t="e">
        <f t="shared" si="162"/>
        <v>#N/A</v>
      </c>
      <c r="CJ100" s="6" t="e">
        <f t="shared" si="11"/>
        <v>#N/A</v>
      </c>
      <c r="CK100" s="6">
        <f t="shared" si="12"/>
        <v>1</v>
      </c>
      <c r="CL100" s="6">
        <f t="shared" si="26"/>
        <v>1</v>
      </c>
      <c r="CM100" s="6">
        <f t="shared" si="13"/>
        <v>1</v>
      </c>
      <c r="CN100" s="6">
        <f t="shared" si="14"/>
        <v>1</v>
      </c>
      <c r="CO100" s="6">
        <f t="shared" si="15"/>
        <v>1</v>
      </c>
      <c r="CP100" s="6">
        <f t="shared" si="16"/>
        <v>1</v>
      </c>
      <c r="CQ100" s="6">
        <f t="shared" si="163"/>
        <v>1</v>
      </c>
      <c r="CR100" s="81" t="str">
        <f t="shared" si="17"/>
        <v/>
      </c>
      <c r="CS100">
        <f t="shared" si="164"/>
        <v>0</v>
      </c>
      <c r="CT100">
        <f t="shared" si="19"/>
        <v>150</v>
      </c>
      <c r="CU100" t="str">
        <f t="shared" si="29"/>
        <v/>
      </c>
      <c r="CV100" s="81">
        <f t="shared" si="165"/>
        <v>150</v>
      </c>
      <c r="CW100" s="81">
        <f>(CV100/25)^1.5*(Calculator!$BU$4/10000)*CW$5</f>
        <v>37.949052970673385</v>
      </c>
      <c r="CX100" t="str">
        <f t="shared" si="166"/>
        <v>$150</v>
      </c>
    </row>
    <row r="101" spans="2:102" x14ac:dyDescent="0.25">
      <c r="B101" s="115" t="s">
        <v>233</v>
      </c>
      <c r="C101" s="13">
        <v>46236.341666666667</v>
      </c>
      <c r="D101">
        <v>35942</v>
      </c>
      <c r="E101" s="54" t="s">
        <v>237</v>
      </c>
      <c r="F101" s="54" t="s">
        <v>476</v>
      </c>
      <c r="G101" s="54" t="s">
        <v>1962</v>
      </c>
      <c r="H101" s="55">
        <v>11.799999999999999</v>
      </c>
      <c r="I101" s="55">
        <v>11.3</v>
      </c>
      <c r="J101" s="55">
        <v>11.1</v>
      </c>
      <c r="K101" s="54"/>
      <c r="L101" s="56" t="b">
        <v>0</v>
      </c>
      <c r="M101" s="56" t="b">
        <v>0</v>
      </c>
      <c r="N101" s="54">
        <v>1</v>
      </c>
      <c r="O101" s="54" t="s">
        <v>228</v>
      </c>
      <c r="P101" s="54">
        <v>30</v>
      </c>
      <c r="Q101" s="54">
        <v>10</v>
      </c>
      <c r="R101" s="54">
        <v>150</v>
      </c>
      <c r="S101" s="54" t="s">
        <v>1963</v>
      </c>
      <c r="T101" s="54" t="s">
        <v>479</v>
      </c>
      <c r="U101" s="54" t="s">
        <v>480</v>
      </c>
      <c r="V101" s="54" t="s">
        <v>481</v>
      </c>
      <c r="W101" s="54" t="b">
        <v>0</v>
      </c>
      <c r="X101" s="54"/>
      <c r="Y101" s="57" t="s">
        <v>2158</v>
      </c>
      <c r="Z101" s="54" t="s">
        <v>1964</v>
      </c>
      <c r="AA101" s="54"/>
      <c r="AB101" s="54" t="s">
        <v>483</v>
      </c>
      <c r="AC101" s="56" t="b">
        <v>1</v>
      </c>
      <c r="AD101" s="56" t="b">
        <v>0</v>
      </c>
      <c r="AE101" s="54" t="s">
        <v>303</v>
      </c>
      <c r="AF101" s="58">
        <v>46235</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4.9099999999999998E-2</v>
      </c>
      <c r="BC101" s="60">
        <v>4.0599999999999996</v>
      </c>
      <c r="BD101" s="61">
        <v>6.0295000000000001E-2</v>
      </c>
      <c r="BE101" s="62" t="s">
        <v>293</v>
      </c>
      <c r="BF101" s="35">
        <f t="shared" si="0"/>
        <v>4.0600000000000005</v>
      </c>
      <c r="BG101" s="35">
        <f t="shared" si="0"/>
        <v>6.0295000000000001E-2</v>
      </c>
      <c r="BH101" s="35" t="str">
        <f t="shared" si="158"/>
        <v>Low</v>
      </c>
      <c r="BI101" s="110">
        <f t="shared" si="159"/>
        <v>0</v>
      </c>
      <c r="BJ101" s="83" t="str">
        <f>VLOOKUP($F101,REP_Info!$D$6:$H$250,5,FALSE)</f>
        <v/>
      </c>
      <c r="BK101" s="30">
        <f t="shared" si="1"/>
        <v>11.7515</v>
      </c>
      <c r="BL101" s="30">
        <f t="shared" si="1"/>
        <v>11.345499999999999</v>
      </c>
      <c r="BM101" s="30">
        <f t="shared" si="1"/>
        <v>11.1425</v>
      </c>
      <c r="BN101" s="29">
        <f t="shared" si="1"/>
        <v>11.074833333333334</v>
      </c>
      <c r="BO101" s="85" t="str">
        <f t="shared" si="2"/>
        <v>$$$</v>
      </c>
      <c r="BP101" s="88" t="str">
        <f t="shared" si="160"/>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 t="shared" si="167"/>
        <v/>
      </c>
      <c r="CF101" s="27" t="e">
        <f>IF(AND(CI101,NOT(AD101)),LOOKUP(CF$5,{0,750,1500},H101:J101),"")</f>
        <v>#N/A</v>
      </c>
      <c r="CG101" s="6" t="str">
        <f t="shared" si="168"/>
        <v/>
      </c>
      <c r="CH101" t="e">
        <f t="shared" si="161"/>
        <v>#N/A</v>
      </c>
      <c r="CI101" t="e">
        <f t="shared" si="162"/>
        <v>#N/A</v>
      </c>
      <c r="CJ101" s="6" t="e">
        <f t="shared" si="11"/>
        <v>#N/A</v>
      </c>
      <c r="CK101" s="6">
        <f t="shared" si="12"/>
        <v>1</v>
      </c>
      <c r="CL101" s="6">
        <f t="shared" si="26"/>
        <v>1</v>
      </c>
      <c r="CM101" s="6">
        <f t="shared" si="13"/>
        <v>1</v>
      </c>
      <c r="CN101" s="6">
        <f t="shared" si="14"/>
        <v>0</v>
      </c>
      <c r="CO101" s="6">
        <f t="shared" si="15"/>
        <v>1</v>
      </c>
      <c r="CP101" s="6">
        <f t="shared" si="16"/>
        <v>1</v>
      </c>
      <c r="CQ101" s="6">
        <f t="shared" si="163"/>
        <v>1</v>
      </c>
      <c r="CR101" s="81" t="str">
        <f t="shared" si="17"/>
        <v/>
      </c>
      <c r="CS101">
        <f t="shared" si="164"/>
        <v>3.5999999999999992</v>
      </c>
      <c r="CT101">
        <f t="shared" si="19"/>
        <v>150</v>
      </c>
      <c r="CU101" t="str">
        <f t="shared" si="29"/>
        <v/>
      </c>
      <c r="CV101" s="81">
        <f t="shared" si="165"/>
        <v>150</v>
      </c>
      <c r="CW101" s="81">
        <f>(CV101/25)^1.5*(Calculator!$BU$4/10000)*CW$5</f>
        <v>37.949052970673385</v>
      </c>
      <c r="CX101" t="str">
        <f t="shared" si="166"/>
        <v>$150</v>
      </c>
    </row>
    <row r="102" spans="2:102" x14ac:dyDescent="0.25">
      <c r="B102" s="115" t="s">
        <v>233</v>
      </c>
      <c r="C102" s="13">
        <v>46233.236805555556</v>
      </c>
      <c r="D102">
        <v>35944</v>
      </c>
      <c r="E102" s="54" t="s">
        <v>235</v>
      </c>
      <c r="F102" s="54" t="s">
        <v>476</v>
      </c>
      <c r="G102" s="54" t="s">
        <v>1962</v>
      </c>
      <c r="H102" s="55">
        <v>11.1</v>
      </c>
      <c r="I102" s="55">
        <v>10.6</v>
      </c>
      <c r="J102" s="55">
        <v>10.4</v>
      </c>
      <c r="K102" s="54"/>
      <c r="L102" s="56" t="b">
        <v>0</v>
      </c>
      <c r="M102" s="56" t="b">
        <v>0</v>
      </c>
      <c r="N102" s="54">
        <v>1</v>
      </c>
      <c r="O102" s="54" t="s">
        <v>228</v>
      </c>
      <c r="P102" s="54">
        <v>30</v>
      </c>
      <c r="Q102" s="54">
        <v>10</v>
      </c>
      <c r="R102" s="54">
        <v>150</v>
      </c>
      <c r="S102" s="54" t="s">
        <v>1965</v>
      </c>
      <c r="T102" s="54" t="s">
        <v>479</v>
      </c>
      <c r="U102" s="54" t="s">
        <v>480</v>
      </c>
      <c r="V102" s="54" t="s">
        <v>481</v>
      </c>
      <c r="W102" s="54" t="b">
        <v>0</v>
      </c>
      <c r="X102" s="54"/>
      <c r="Y102" s="57" t="s">
        <v>2136</v>
      </c>
      <c r="Z102" s="54" t="s">
        <v>1966</v>
      </c>
      <c r="AA102" s="54"/>
      <c r="AB102" s="54" t="s">
        <v>483</v>
      </c>
      <c r="AC102" s="56" t="b">
        <v>1</v>
      </c>
      <c r="AD102" s="56" t="b">
        <v>0</v>
      </c>
      <c r="AE102" s="54" t="s">
        <v>303</v>
      </c>
      <c r="AF102" s="58">
        <v>46233</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0.05</v>
      </c>
      <c r="BC102" s="60">
        <v>4.9000000000000004</v>
      </c>
      <c r="BD102" s="61">
        <v>5.1461E-2</v>
      </c>
      <c r="BE102" s="62" t="s">
        <v>293</v>
      </c>
      <c r="BF102" s="35">
        <f t="shared" si="0"/>
        <v>4.9000000000000004</v>
      </c>
      <c r="BG102" s="35">
        <f t="shared" si="0"/>
        <v>5.1461E-2</v>
      </c>
      <c r="BH102" s="35" t="str">
        <f t="shared" si="158"/>
        <v>Low</v>
      </c>
      <c r="BI102" s="110">
        <f t="shared" si="159"/>
        <v>0</v>
      </c>
      <c r="BJ102" s="83" t="str">
        <f>VLOOKUP($F102,REP_Info!$D$6:$H$250,5,FALSE)</f>
        <v/>
      </c>
      <c r="BK102" s="30">
        <f t="shared" si="1"/>
        <v>11.126100000000001</v>
      </c>
      <c r="BL102" s="30">
        <f t="shared" si="1"/>
        <v>10.636099999999999</v>
      </c>
      <c r="BM102" s="30">
        <f t="shared" si="1"/>
        <v>10.3911</v>
      </c>
      <c r="BN102" s="29">
        <f t="shared" si="1"/>
        <v>10.309433333333335</v>
      </c>
      <c r="BO102" s="85" t="str">
        <f t="shared" si="2"/>
        <v>$$$</v>
      </c>
      <c r="BP102" s="88" t="str">
        <f t="shared" si="160"/>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167"/>
        <v/>
      </c>
      <c r="CF102" s="27" t="e">
        <f>IF(AND(CI102,NOT(AD102)),LOOKUP(CF$5,{0,750,1500},H102:J102),"")</f>
        <v>#N/A</v>
      </c>
      <c r="CG102" s="6" t="str">
        <f t="shared" si="168"/>
        <v/>
      </c>
      <c r="CH102" t="e">
        <f t="shared" si="161"/>
        <v>#N/A</v>
      </c>
      <c r="CI102" t="e">
        <f t="shared" si="162"/>
        <v>#N/A</v>
      </c>
      <c r="CJ102" s="6" t="e">
        <f t="shared" si="11"/>
        <v>#N/A</v>
      </c>
      <c r="CK102" s="6">
        <f t="shared" si="12"/>
        <v>1</v>
      </c>
      <c r="CL102" s="6">
        <f t="shared" si="26"/>
        <v>1</v>
      </c>
      <c r="CM102" s="6">
        <f t="shared" si="13"/>
        <v>1</v>
      </c>
      <c r="CN102" s="6">
        <f t="shared" si="14"/>
        <v>0</v>
      </c>
      <c r="CO102" s="6">
        <f t="shared" si="15"/>
        <v>1</v>
      </c>
      <c r="CP102" s="6">
        <f t="shared" si="16"/>
        <v>1</v>
      </c>
      <c r="CQ102" s="6">
        <f t="shared" si="163"/>
        <v>1</v>
      </c>
      <c r="CR102" s="81" t="str">
        <f t="shared" si="17"/>
        <v/>
      </c>
      <c r="CS102">
        <f t="shared" si="164"/>
        <v>3.5999999999999992</v>
      </c>
      <c r="CT102">
        <f t="shared" si="19"/>
        <v>150</v>
      </c>
      <c r="CU102" t="str">
        <f t="shared" si="29"/>
        <v/>
      </c>
      <c r="CV102" s="81">
        <f t="shared" si="165"/>
        <v>150</v>
      </c>
      <c r="CW102" s="81">
        <f>(CV102/25)^1.5*(Calculator!$BU$4/10000)*CW$5</f>
        <v>37.949052970673385</v>
      </c>
      <c r="CX102" t="str">
        <f t="shared" si="166"/>
        <v>$150</v>
      </c>
    </row>
    <row r="103" spans="2:102" x14ac:dyDescent="0.25">
      <c r="B103" s="115" t="s">
        <v>233</v>
      </c>
      <c r="C103" s="13">
        <v>46236.341666666667</v>
      </c>
      <c r="D103">
        <v>18418</v>
      </c>
      <c r="E103" s="54" t="s">
        <v>237</v>
      </c>
      <c r="F103" s="54" t="s">
        <v>486</v>
      </c>
      <c r="G103" s="54" t="s">
        <v>2137</v>
      </c>
      <c r="H103" s="55">
        <v>19.2</v>
      </c>
      <c r="I103" s="55">
        <v>15.299999999999999</v>
      </c>
      <c r="J103" s="55">
        <v>16.100000000000001</v>
      </c>
      <c r="K103" s="54" t="s">
        <v>2138</v>
      </c>
      <c r="L103" s="56" t="b">
        <v>0</v>
      </c>
      <c r="M103" s="56" t="b">
        <v>0</v>
      </c>
      <c r="N103" s="54">
        <v>1</v>
      </c>
      <c r="O103" s="54" t="s">
        <v>228</v>
      </c>
      <c r="P103" s="54">
        <v>24</v>
      </c>
      <c r="Q103" s="54">
        <v>12</v>
      </c>
      <c r="R103" s="54">
        <v>150</v>
      </c>
      <c r="S103" s="54" t="s">
        <v>2139</v>
      </c>
      <c r="T103" s="54"/>
      <c r="U103" s="54" t="s">
        <v>2122</v>
      </c>
      <c r="V103" s="54" t="s">
        <v>2140</v>
      </c>
      <c r="W103" s="54" t="b">
        <v>0</v>
      </c>
      <c r="X103" s="54"/>
      <c r="Y103" s="57" t="s">
        <v>2159</v>
      </c>
      <c r="Z103" s="54" t="s">
        <v>2141</v>
      </c>
      <c r="AA103" s="54"/>
      <c r="AB103" s="54" t="s">
        <v>2142</v>
      </c>
      <c r="AC103" s="56" t="b">
        <v>0</v>
      </c>
      <c r="AD103" s="56" t="b">
        <v>1</v>
      </c>
      <c r="AE103" s="54" t="s">
        <v>303</v>
      </c>
      <c r="AF103" s="58">
        <v>46234</v>
      </c>
      <c r="AG103" s="62" t="s">
        <v>293</v>
      </c>
      <c r="AH103" s="54">
        <v>0</v>
      </c>
      <c r="AI103" s="54">
        <v>1000</v>
      </c>
      <c r="AJ103" s="54">
        <v>2000</v>
      </c>
      <c r="AK103" s="54"/>
      <c r="AL103" s="54"/>
      <c r="AM103" s="54">
        <v>0</v>
      </c>
      <c r="AN103" s="54">
        <v>-35</v>
      </c>
      <c r="AO103" s="54">
        <v>-50</v>
      </c>
      <c r="AP103" s="54"/>
      <c r="AQ103" s="54"/>
      <c r="AR103" s="54"/>
      <c r="AS103" s="54"/>
      <c r="AT103" s="54"/>
      <c r="AU103" s="54"/>
      <c r="AV103" s="54"/>
      <c r="AW103" s="54"/>
      <c r="AX103" s="59"/>
      <c r="AY103" s="59"/>
      <c r="AZ103" s="59"/>
      <c r="BA103" s="59"/>
      <c r="BB103" s="59">
        <v>0.1236</v>
      </c>
      <c r="BC103" s="60">
        <v>4.0599999999999996</v>
      </c>
      <c r="BD103" s="61">
        <v>6.0295000000000001E-2</v>
      </c>
      <c r="BE103" s="62" t="s">
        <v>293</v>
      </c>
      <c r="BF103" s="35">
        <f t="shared" si="0"/>
        <v>4.0600000000000005</v>
      </c>
      <c r="BG103" s="35">
        <f t="shared" si="0"/>
        <v>6.0295000000000001E-2</v>
      </c>
      <c r="BH103" s="35" t="str">
        <f t="shared" si="158"/>
        <v>High</v>
      </c>
      <c r="BI103" s="110">
        <f t="shared" si="159"/>
        <v>0</v>
      </c>
      <c r="BJ103" s="83">
        <f>VLOOKUP($F103,REP_Info!$D$6:$H$250,5,FALSE)</f>
        <v>0.7</v>
      </c>
      <c r="BK103" s="30">
        <f t="shared" si="1"/>
        <v>19.201499999999999</v>
      </c>
      <c r="BL103" s="30">
        <f t="shared" si="1"/>
        <v>15.295500000000002</v>
      </c>
      <c r="BM103" s="30">
        <f t="shared" si="1"/>
        <v>16.092500000000001</v>
      </c>
      <c r="BN103" s="29">
        <f t="shared" si="1"/>
        <v>16.858166666666666</v>
      </c>
      <c r="BO103" s="85" t="str">
        <f t="shared" si="2"/>
        <v>$$$</v>
      </c>
      <c r="BP103" s="88" t="str">
        <f t="shared" si="160"/>
        <v>$$$</v>
      </c>
      <c r="BQ103" s="88" t="str">
        <f t="shared" si="4"/>
        <v>$$$</v>
      </c>
      <c r="BR103" s="88" t="str">
        <f t="shared" si="5"/>
        <v>$$$</v>
      </c>
      <c r="BS103" s="29" t="e">
        <f t="shared" si="6"/>
        <v>#N/A</v>
      </c>
      <c r="BT103" s="29" t="e">
        <f t="shared" si="6"/>
        <v>#N/A</v>
      </c>
      <c r="BU103" s="29" t="e">
        <f t="shared" si="6"/>
        <v>#N/A</v>
      </c>
      <c r="BV103" s="29" t="e">
        <f t="shared" ref="BS103:CD124" si="169">IF($CI103,IF(BV$7&gt;0,IF(BV$4&gt;$Q103,$BF103+BV$7*(BV$5+$BG103+$BI103),LOOKUP(BV$7,$AH103:$AL103,$AM103:$AQ103)+IF($AG103="Y",SUMPRODUCT($AX103:$BB103-$AW103:$BA103,BV$7-$AR103:$AV103,N(BV$7&gt;$AR103:$AV103)),BV$7*LOOKUP(BV$7,$AR103:$AV103,$AX103:$BB103))+IF($BE103="Y",$BF103,$BC103)+BV$7*IF($BE103="Y",$BG103,$BD103))*100/BV$7,""),NA())</f>
        <v>#N/A</v>
      </c>
      <c r="BW103" s="29" t="e">
        <f t="shared" si="169"/>
        <v>#N/A</v>
      </c>
      <c r="BX103" s="29" t="e">
        <f t="shared" si="169"/>
        <v>#N/A</v>
      </c>
      <c r="BY103" s="29" t="e">
        <f t="shared" si="169"/>
        <v>#N/A</v>
      </c>
      <c r="BZ103" s="29" t="e">
        <f t="shared" si="169"/>
        <v>#N/A</v>
      </c>
      <c r="CA103" s="29" t="e">
        <f t="shared" si="169"/>
        <v>#N/A</v>
      </c>
      <c r="CB103" s="29" t="e">
        <f t="shared" si="169"/>
        <v>#N/A</v>
      </c>
      <c r="CC103" s="29" t="e">
        <f t="shared" si="169"/>
        <v>#N/A</v>
      </c>
      <c r="CD103" s="29" t="e">
        <f t="shared" si="169"/>
        <v>#N/A</v>
      </c>
      <c r="CE103" s="6" t="str">
        <f t="shared" si="167"/>
        <v/>
      </c>
      <c r="CF103" s="27" t="e">
        <f>IF(AND(CI103,NOT(AD103)),LOOKUP(CF$5,{0,750,1500},H103:J103),"")</f>
        <v>#N/A</v>
      </c>
      <c r="CG103" s="6" t="str">
        <f t="shared" si="168"/>
        <v/>
      </c>
      <c r="CH103" t="e">
        <f t="shared" si="161"/>
        <v>#N/A</v>
      </c>
      <c r="CI103" t="e">
        <f t="shared" si="162"/>
        <v>#N/A</v>
      </c>
      <c r="CJ103" s="6" t="e">
        <f t="shared" si="11"/>
        <v>#N/A</v>
      </c>
      <c r="CK103" s="6">
        <f t="shared" si="12"/>
        <v>1</v>
      </c>
      <c r="CL103" s="6">
        <f t="shared" si="26"/>
        <v>1</v>
      </c>
      <c r="CM103" s="6">
        <f t="shared" si="13"/>
        <v>1</v>
      </c>
      <c r="CN103" s="6">
        <f t="shared" si="14"/>
        <v>1</v>
      </c>
      <c r="CO103" s="6">
        <f t="shared" si="15"/>
        <v>1</v>
      </c>
      <c r="CP103" s="6">
        <f t="shared" si="16"/>
        <v>1</v>
      </c>
      <c r="CQ103" s="6">
        <f t="shared" si="163"/>
        <v>1</v>
      </c>
      <c r="CR103" s="81" t="str">
        <f t="shared" si="17"/>
        <v/>
      </c>
      <c r="CS103">
        <f t="shared" si="164"/>
        <v>0</v>
      </c>
      <c r="CT103">
        <f t="shared" si="19"/>
        <v>150</v>
      </c>
      <c r="CU103" t="str">
        <f t="shared" si="29"/>
        <v/>
      </c>
      <c r="CV103" s="81">
        <f t="shared" si="165"/>
        <v>150</v>
      </c>
      <c r="CW103" s="81">
        <f>(CV103/25)^1.5*(Calculator!$BU$4/10000)*CW$5</f>
        <v>37.949052970673385</v>
      </c>
      <c r="CX103" t="str">
        <f t="shared" si="166"/>
        <v>$150</v>
      </c>
    </row>
    <row r="104" spans="2:102" x14ac:dyDescent="0.25">
      <c r="B104" s="115" t="s">
        <v>233</v>
      </c>
      <c r="C104" s="13">
        <v>46233.236805555556</v>
      </c>
      <c r="D104">
        <v>18423</v>
      </c>
      <c r="E104" s="54" t="s">
        <v>235</v>
      </c>
      <c r="F104" s="54" t="s">
        <v>486</v>
      </c>
      <c r="G104" s="54" t="s">
        <v>2137</v>
      </c>
      <c r="H104" s="55">
        <v>18</v>
      </c>
      <c r="I104" s="55">
        <v>14.000000000000002</v>
      </c>
      <c r="J104" s="55">
        <v>14.799999999999999</v>
      </c>
      <c r="K104" s="54" t="s">
        <v>2138</v>
      </c>
      <c r="L104" s="56" t="b">
        <v>0</v>
      </c>
      <c r="M104" s="56" t="b">
        <v>0</v>
      </c>
      <c r="N104" s="54">
        <v>1</v>
      </c>
      <c r="O104" s="54" t="s">
        <v>228</v>
      </c>
      <c r="P104" s="54">
        <v>24</v>
      </c>
      <c r="Q104" s="54">
        <v>12</v>
      </c>
      <c r="R104" s="54">
        <v>150</v>
      </c>
      <c r="S104" s="54" t="s">
        <v>2139</v>
      </c>
      <c r="T104" s="54"/>
      <c r="U104" s="54" t="s">
        <v>2118</v>
      </c>
      <c r="V104" s="54" t="s">
        <v>2140</v>
      </c>
      <c r="W104" s="54" t="b">
        <v>0</v>
      </c>
      <c r="X104" s="54"/>
      <c r="Y104" s="57" t="s">
        <v>2143</v>
      </c>
      <c r="Z104" s="54" t="s">
        <v>2141</v>
      </c>
      <c r="AA104" s="54"/>
      <c r="AB104" s="54" t="s">
        <v>2142</v>
      </c>
      <c r="AC104" s="56" t="b">
        <v>0</v>
      </c>
      <c r="AD104" s="56" t="b">
        <v>1</v>
      </c>
      <c r="AE104" s="54" t="s">
        <v>303</v>
      </c>
      <c r="AF104" s="58">
        <v>46232</v>
      </c>
      <c r="AG104" s="62" t="s">
        <v>293</v>
      </c>
      <c r="AH104" s="54">
        <v>0</v>
      </c>
      <c r="AI104" s="54">
        <v>1000</v>
      </c>
      <c r="AJ104" s="54">
        <v>2000</v>
      </c>
      <c r="AK104" s="54"/>
      <c r="AL104" s="54"/>
      <c r="AM104" s="54">
        <v>0</v>
      </c>
      <c r="AN104" s="54">
        <v>-35</v>
      </c>
      <c r="AO104" s="54">
        <v>-50</v>
      </c>
      <c r="AP104" s="54"/>
      <c r="AQ104" s="54"/>
      <c r="AR104" s="54"/>
      <c r="AS104" s="54"/>
      <c r="AT104" s="54"/>
      <c r="AU104" s="54"/>
      <c r="AV104" s="54"/>
      <c r="AW104" s="54"/>
      <c r="AX104" s="59"/>
      <c r="AY104" s="59"/>
      <c r="AZ104" s="59"/>
      <c r="BA104" s="59"/>
      <c r="BB104" s="59">
        <v>0.1186</v>
      </c>
      <c r="BC104" s="60">
        <v>4.9000000000000004</v>
      </c>
      <c r="BD104" s="61">
        <v>5.1461E-2</v>
      </c>
      <c r="BE104" s="62" t="s">
        <v>293</v>
      </c>
      <c r="BF104" s="35">
        <f t="shared" si="0"/>
        <v>4.9000000000000004</v>
      </c>
      <c r="BG104" s="35">
        <f t="shared" si="0"/>
        <v>5.1461E-2</v>
      </c>
      <c r="BH104" s="35" t="str">
        <f t="shared" si="158"/>
        <v>High</v>
      </c>
      <c r="BI104" s="110">
        <f t="shared" si="159"/>
        <v>0</v>
      </c>
      <c r="BJ104" s="83">
        <f>VLOOKUP($F104,REP_Info!$D$6:$H$250,5,FALSE)</f>
        <v>0.7</v>
      </c>
      <c r="BK104" s="30">
        <f t="shared" si="1"/>
        <v>17.986099999999997</v>
      </c>
      <c r="BL104" s="30">
        <f t="shared" si="1"/>
        <v>13.996100000000002</v>
      </c>
      <c r="BM104" s="30">
        <f t="shared" si="1"/>
        <v>14.751100000000001</v>
      </c>
      <c r="BN104" s="29">
        <f t="shared" si="1"/>
        <v>15.502766666666664</v>
      </c>
      <c r="BO104" s="85" t="str">
        <f t="shared" si="2"/>
        <v>$$$</v>
      </c>
      <c r="BP104" s="88" t="str">
        <f t="shared" si="160"/>
        <v>$$$</v>
      </c>
      <c r="BQ104" s="88" t="str">
        <f t="shared" si="4"/>
        <v>$$$</v>
      </c>
      <c r="BR104" s="88" t="str">
        <f t="shared" si="5"/>
        <v>$$$</v>
      </c>
      <c r="BS104" s="29" t="e">
        <f t="shared" si="169"/>
        <v>#N/A</v>
      </c>
      <c r="BT104" s="29" t="e">
        <f t="shared" si="169"/>
        <v>#N/A</v>
      </c>
      <c r="BU104" s="29" t="e">
        <f t="shared" si="169"/>
        <v>#N/A</v>
      </c>
      <c r="BV104" s="29" t="e">
        <f t="shared" si="169"/>
        <v>#N/A</v>
      </c>
      <c r="BW104" s="29" t="e">
        <f t="shared" si="169"/>
        <v>#N/A</v>
      </c>
      <c r="BX104" s="29" t="e">
        <f t="shared" si="169"/>
        <v>#N/A</v>
      </c>
      <c r="BY104" s="29" t="e">
        <f t="shared" si="169"/>
        <v>#N/A</v>
      </c>
      <c r="BZ104" s="29" t="e">
        <f t="shared" si="169"/>
        <v>#N/A</v>
      </c>
      <c r="CA104" s="29" t="e">
        <f t="shared" si="169"/>
        <v>#N/A</v>
      </c>
      <c r="CB104" s="29" t="e">
        <f t="shared" si="169"/>
        <v>#N/A</v>
      </c>
      <c r="CC104" s="29" t="e">
        <f t="shared" si="169"/>
        <v>#N/A</v>
      </c>
      <c r="CD104" s="29" t="e">
        <f t="shared" si="169"/>
        <v>#N/A</v>
      </c>
      <c r="CE104" s="6" t="str">
        <f t="shared" si="167"/>
        <v/>
      </c>
      <c r="CF104" s="27" t="e">
        <f>IF(AND(CI104,NOT(AD104)),LOOKUP(CF$5,{0,750,1500},H104:J104),"")</f>
        <v>#N/A</v>
      </c>
      <c r="CG104" s="6" t="str">
        <f t="shared" si="168"/>
        <v/>
      </c>
      <c r="CH104" t="e">
        <f t="shared" si="161"/>
        <v>#N/A</v>
      </c>
      <c r="CI104" t="e">
        <f t="shared" si="162"/>
        <v>#N/A</v>
      </c>
      <c r="CJ104" s="6" t="e">
        <f t="shared" si="11"/>
        <v>#N/A</v>
      </c>
      <c r="CK104" s="6">
        <f t="shared" si="12"/>
        <v>1</v>
      </c>
      <c r="CL104" s="6">
        <f t="shared" si="26"/>
        <v>1</v>
      </c>
      <c r="CM104" s="6">
        <f t="shared" si="13"/>
        <v>1</v>
      </c>
      <c r="CN104" s="6">
        <f t="shared" si="14"/>
        <v>1</v>
      </c>
      <c r="CO104" s="6">
        <f t="shared" si="15"/>
        <v>1</v>
      </c>
      <c r="CP104" s="6">
        <f t="shared" si="16"/>
        <v>1</v>
      </c>
      <c r="CQ104" s="6">
        <f t="shared" si="163"/>
        <v>1</v>
      </c>
      <c r="CR104" s="81" t="str">
        <f t="shared" si="17"/>
        <v/>
      </c>
      <c r="CS104">
        <f t="shared" si="164"/>
        <v>0</v>
      </c>
      <c r="CT104">
        <f t="shared" si="19"/>
        <v>150</v>
      </c>
      <c r="CU104" t="str">
        <f t="shared" si="29"/>
        <v/>
      </c>
      <c r="CV104" s="81">
        <f t="shared" si="165"/>
        <v>150</v>
      </c>
      <c r="CW104" s="81">
        <f>(CV104/25)^1.5*(Calculator!$BU$4/10000)*CW$5</f>
        <v>37.949052970673385</v>
      </c>
      <c r="CX104" t="str">
        <f t="shared" si="166"/>
        <v>$150</v>
      </c>
    </row>
    <row r="105" spans="2:102" x14ac:dyDescent="0.25">
      <c r="B105" s="115" t="s">
        <v>233</v>
      </c>
      <c r="C105" s="13">
        <v>46233.236805555556</v>
      </c>
      <c r="D105">
        <v>24734</v>
      </c>
      <c r="E105" s="54" t="s">
        <v>235</v>
      </c>
      <c r="F105" s="54" t="s">
        <v>486</v>
      </c>
      <c r="G105" s="54" t="s">
        <v>2144</v>
      </c>
      <c r="H105" s="55">
        <v>12.3</v>
      </c>
      <c r="I105" s="55">
        <v>11.799999999999999</v>
      </c>
      <c r="J105" s="55">
        <v>11.600000000000001</v>
      </c>
      <c r="K105" s="54"/>
      <c r="L105" s="56" t="b">
        <v>0</v>
      </c>
      <c r="M105" s="56" t="b">
        <v>0</v>
      </c>
      <c r="N105" s="54">
        <v>1</v>
      </c>
      <c r="O105" s="54" t="s">
        <v>228</v>
      </c>
      <c r="P105" s="54">
        <v>24</v>
      </c>
      <c r="Q105" s="54">
        <v>11</v>
      </c>
      <c r="R105" s="54">
        <v>50</v>
      </c>
      <c r="S105" s="54" t="s">
        <v>2139</v>
      </c>
      <c r="T105" s="54"/>
      <c r="U105" s="54" t="s">
        <v>2116</v>
      </c>
      <c r="V105" s="54" t="s">
        <v>2140</v>
      </c>
      <c r="W105" s="54" t="b">
        <v>0</v>
      </c>
      <c r="X105" s="54"/>
      <c r="Y105" s="57" t="s">
        <v>2145</v>
      </c>
      <c r="Z105" s="54" t="s">
        <v>2141</v>
      </c>
      <c r="AA105" s="54"/>
      <c r="AB105" s="54" t="s">
        <v>2142</v>
      </c>
      <c r="AC105" s="56" t="b">
        <v>1</v>
      </c>
      <c r="AD105" s="56" t="b">
        <v>0</v>
      </c>
      <c r="AE105" s="54" t="s">
        <v>303</v>
      </c>
      <c r="AF105" s="58">
        <v>46232</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6.1600000000000002E-2</v>
      </c>
      <c r="BC105" s="60"/>
      <c r="BD105" s="61"/>
      <c r="BE105" s="62" t="s">
        <v>293</v>
      </c>
      <c r="BF105" s="35">
        <f t="shared" si="0"/>
        <v>4.9000000000000004</v>
      </c>
      <c r="BG105" s="35">
        <f t="shared" si="0"/>
        <v>5.1461E-2</v>
      </c>
      <c r="BH105" s="35" t="str">
        <f t="shared" si="158"/>
        <v>Low</v>
      </c>
      <c r="BI105" s="110">
        <f t="shared" si="159"/>
        <v>0</v>
      </c>
      <c r="BJ105" s="83">
        <f>VLOOKUP($F105,REP_Info!$D$6:$H$250,5,FALSE)</f>
        <v>0.7</v>
      </c>
      <c r="BK105" s="30">
        <f t="shared" si="1"/>
        <v>12.286100000000001</v>
      </c>
      <c r="BL105" s="30">
        <f t="shared" si="1"/>
        <v>11.796100000000001</v>
      </c>
      <c r="BM105" s="30">
        <f t="shared" si="1"/>
        <v>11.5511</v>
      </c>
      <c r="BN105" s="29">
        <f t="shared" si="1"/>
        <v>11.469433333333335</v>
      </c>
      <c r="BO105" s="85" t="str">
        <f t="shared" si="2"/>
        <v>$$$</v>
      </c>
      <c r="BP105" s="88" t="str">
        <f t="shared" si="160"/>
        <v>$$$</v>
      </c>
      <c r="BQ105" s="88" t="str">
        <f t="shared" si="4"/>
        <v>$$$</v>
      </c>
      <c r="BR105" s="88" t="str">
        <f t="shared" si="5"/>
        <v>$$$</v>
      </c>
      <c r="BS105" s="29" t="e">
        <f t="shared" si="169"/>
        <v>#N/A</v>
      </c>
      <c r="BT105" s="29" t="e">
        <f t="shared" si="169"/>
        <v>#N/A</v>
      </c>
      <c r="BU105" s="29" t="e">
        <f t="shared" si="169"/>
        <v>#N/A</v>
      </c>
      <c r="BV105" s="29" t="e">
        <f t="shared" si="169"/>
        <v>#N/A</v>
      </c>
      <c r="BW105" s="29" t="e">
        <f t="shared" si="169"/>
        <v>#N/A</v>
      </c>
      <c r="BX105" s="29" t="e">
        <f t="shared" si="169"/>
        <v>#N/A</v>
      </c>
      <c r="BY105" s="29" t="e">
        <f t="shared" si="169"/>
        <v>#N/A</v>
      </c>
      <c r="BZ105" s="29" t="e">
        <f t="shared" si="169"/>
        <v>#N/A</v>
      </c>
      <c r="CA105" s="29" t="e">
        <f t="shared" si="169"/>
        <v>#N/A</v>
      </c>
      <c r="CB105" s="29" t="e">
        <f t="shared" si="169"/>
        <v>#N/A</v>
      </c>
      <c r="CC105" s="29" t="e">
        <f t="shared" si="169"/>
        <v>#N/A</v>
      </c>
      <c r="CD105" s="29" t="e">
        <f t="shared" si="169"/>
        <v>#N/A</v>
      </c>
      <c r="CE105" s="6" t="str">
        <f t="shared" si="167"/>
        <v/>
      </c>
      <c r="CF105" s="27" t="e">
        <f>IF(AND(CI105,NOT(AD105)),LOOKUP(CF$5,{0,750,1500},H105:J105),"")</f>
        <v>#N/A</v>
      </c>
      <c r="CG105" s="6" t="str">
        <f t="shared" si="168"/>
        <v/>
      </c>
      <c r="CH105" t="e">
        <f t="shared" si="161"/>
        <v>#N/A</v>
      </c>
      <c r="CI105" t="e">
        <f t="shared" si="162"/>
        <v>#N/A</v>
      </c>
      <c r="CJ105" s="6" t="e">
        <f t="shared" si="11"/>
        <v>#N/A</v>
      </c>
      <c r="CK105" s="6">
        <f t="shared" si="12"/>
        <v>1</v>
      </c>
      <c r="CL105" s="6">
        <f t="shared" si="26"/>
        <v>1</v>
      </c>
      <c r="CM105" s="6">
        <f t="shared" si="13"/>
        <v>1</v>
      </c>
      <c r="CN105" s="6">
        <f t="shared" si="14"/>
        <v>0</v>
      </c>
      <c r="CO105" s="6">
        <f t="shared" si="15"/>
        <v>1</v>
      </c>
      <c r="CP105" s="6">
        <f t="shared" si="16"/>
        <v>1</v>
      </c>
      <c r="CQ105" s="6">
        <f t="shared" si="163"/>
        <v>1</v>
      </c>
      <c r="CR105" s="81" t="str">
        <f t="shared" si="17"/>
        <v/>
      </c>
      <c r="CS105">
        <f t="shared" si="164"/>
        <v>1.6363636363636349</v>
      </c>
      <c r="CT105">
        <f t="shared" si="19"/>
        <v>50</v>
      </c>
      <c r="CU105" t="str">
        <f t="shared" si="29"/>
        <v/>
      </c>
      <c r="CV105" s="81">
        <f t="shared" si="165"/>
        <v>50</v>
      </c>
      <c r="CW105" s="81">
        <f>(CV105/25)^1.5*(Calculator!$BU$4/10000)*CW$5</f>
        <v>7.3032986493698795</v>
      </c>
      <c r="CX105" t="str">
        <f t="shared" si="166"/>
        <v>$50</v>
      </c>
    </row>
    <row r="106" spans="2:102" x14ac:dyDescent="0.25">
      <c r="B106" s="115" t="s">
        <v>233</v>
      </c>
      <c r="C106" s="13">
        <v>46233.236805555556</v>
      </c>
      <c r="D106">
        <v>27875</v>
      </c>
      <c r="E106" s="54" t="s">
        <v>235</v>
      </c>
      <c r="F106" s="54" t="s">
        <v>486</v>
      </c>
      <c r="G106" s="54" t="s">
        <v>2146</v>
      </c>
      <c r="H106" s="55">
        <v>11.799999999999999</v>
      </c>
      <c r="I106" s="55">
        <v>11.3</v>
      </c>
      <c r="J106" s="55">
        <v>11.1</v>
      </c>
      <c r="K106" s="54"/>
      <c r="L106" s="56" t="b">
        <v>0</v>
      </c>
      <c r="M106" s="56" t="b">
        <v>0</v>
      </c>
      <c r="N106" s="54">
        <v>1</v>
      </c>
      <c r="O106" s="54" t="s">
        <v>228</v>
      </c>
      <c r="P106" s="54">
        <v>24</v>
      </c>
      <c r="Q106" s="54">
        <v>5</v>
      </c>
      <c r="R106" s="54">
        <v>50</v>
      </c>
      <c r="S106" s="54" t="s">
        <v>2139</v>
      </c>
      <c r="T106" s="54" t="s">
        <v>2147</v>
      </c>
      <c r="U106" s="54" t="s">
        <v>2112</v>
      </c>
      <c r="V106" s="54" t="s">
        <v>2140</v>
      </c>
      <c r="W106" s="54" t="b">
        <v>0</v>
      </c>
      <c r="X106" s="54"/>
      <c r="Y106" s="57" t="s">
        <v>2148</v>
      </c>
      <c r="Z106" s="54" t="s">
        <v>2141</v>
      </c>
      <c r="AA106" s="54"/>
      <c r="AB106" s="54" t="s">
        <v>2142</v>
      </c>
      <c r="AC106" s="56" t="b">
        <v>0</v>
      </c>
      <c r="AD106" s="56" t="b">
        <v>0</v>
      </c>
      <c r="AE106" s="54" t="s">
        <v>303</v>
      </c>
      <c r="AF106" s="58">
        <v>46232</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5.6599999999999998E-2</v>
      </c>
      <c r="BC106" s="60"/>
      <c r="BD106" s="61"/>
      <c r="BE106" s="62" t="s">
        <v>293</v>
      </c>
      <c r="BF106" s="35">
        <f t="shared" si="0"/>
        <v>4.9000000000000004</v>
      </c>
      <c r="BG106" s="35">
        <f t="shared" si="0"/>
        <v>5.1461E-2</v>
      </c>
      <c r="BH106" s="35" t="str">
        <f t="shared" si="158"/>
        <v>Low</v>
      </c>
      <c r="BI106" s="110">
        <f t="shared" si="159"/>
        <v>0</v>
      </c>
      <c r="BJ106" s="83">
        <f>VLOOKUP($F106,REP_Info!$D$6:$H$250,5,FALSE)</f>
        <v>0.7</v>
      </c>
      <c r="BK106" s="30">
        <f t="shared" si="1"/>
        <v>11.786099999999999</v>
      </c>
      <c r="BL106" s="30">
        <f t="shared" si="1"/>
        <v>11.296099999999999</v>
      </c>
      <c r="BM106" s="30">
        <f t="shared" si="1"/>
        <v>11.0511</v>
      </c>
      <c r="BN106" s="29">
        <f t="shared" si="1"/>
        <v>10.969433333333331</v>
      </c>
      <c r="BO106" s="85" t="str">
        <f t="shared" si="2"/>
        <v>$$$</v>
      </c>
      <c r="BP106" s="88" t="str">
        <f t="shared" si="160"/>
        <v>$$$</v>
      </c>
      <c r="BQ106" s="88" t="str">
        <f t="shared" si="4"/>
        <v>$$$</v>
      </c>
      <c r="BR106" s="88" t="str">
        <f t="shared" si="5"/>
        <v>$$$</v>
      </c>
      <c r="BS106" s="29" t="e">
        <f t="shared" si="169"/>
        <v>#N/A</v>
      </c>
      <c r="BT106" s="29" t="e">
        <f t="shared" si="169"/>
        <v>#N/A</v>
      </c>
      <c r="BU106" s="29" t="e">
        <f t="shared" si="169"/>
        <v>#N/A</v>
      </c>
      <c r="BV106" s="29" t="e">
        <f t="shared" si="169"/>
        <v>#N/A</v>
      </c>
      <c r="BW106" s="29" t="e">
        <f t="shared" si="169"/>
        <v>#N/A</v>
      </c>
      <c r="BX106" s="29" t="e">
        <f t="shared" si="169"/>
        <v>#N/A</v>
      </c>
      <c r="BY106" s="29" t="e">
        <f t="shared" si="169"/>
        <v>#N/A</v>
      </c>
      <c r="BZ106" s="29" t="e">
        <f t="shared" si="169"/>
        <v>#N/A</v>
      </c>
      <c r="CA106" s="29" t="e">
        <f t="shared" si="169"/>
        <v>#N/A</v>
      </c>
      <c r="CB106" s="29" t="e">
        <f t="shared" si="169"/>
        <v>#N/A</v>
      </c>
      <c r="CC106" s="29" t="e">
        <f t="shared" si="169"/>
        <v>#N/A</v>
      </c>
      <c r="CD106" s="29" t="e">
        <f t="shared" si="169"/>
        <v>#N/A</v>
      </c>
      <c r="CE106" s="6" t="str">
        <f t="shared" si="167"/>
        <v/>
      </c>
      <c r="CF106" s="27" t="e">
        <f>IF(AND(CI106,NOT(AD106)),LOOKUP(CF$5,{0,750,1500},H106:J106),"")</f>
        <v>#N/A</v>
      </c>
      <c r="CG106" s="6" t="str">
        <f t="shared" si="168"/>
        <v/>
      </c>
      <c r="CH106" t="e">
        <f t="shared" si="161"/>
        <v>#N/A</v>
      </c>
      <c r="CI106" t="e">
        <f t="shared" si="162"/>
        <v>#N/A</v>
      </c>
      <c r="CJ106" s="6" t="e">
        <f t="shared" si="11"/>
        <v>#N/A</v>
      </c>
      <c r="CK106" s="6">
        <f t="shared" si="12"/>
        <v>1</v>
      </c>
      <c r="CL106" s="6">
        <f t="shared" si="26"/>
        <v>1</v>
      </c>
      <c r="CM106" s="6">
        <f t="shared" si="13"/>
        <v>1</v>
      </c>
      <c r="CN106" s="6">
        <f t="shared" si="14"/>
        <v>0</v>
      </c>
      <c r="CO106" s="6">
        <f t="shared" si="15"/>
        <v>1</v>
      </c>
      <c r="CP106" s="6">
        <f t="shared" si="16"/>
        <v>1</v>
      </c>
      <c r="CQ106" s="6">
        <f t="shared" si="163"/>
        <v>1</v>
      </c>
      <c r="CR106" s="81" t="str">
        <f t="shared" si="17"/>
        <v/>
      </c>
      <c r="CS106">
        <f t="shared" si="164"/>
        <v>25.2</v>
      </c>
      <c r="CT106">
        <f t="shared" si="19"/>
        <v>50</v>
      </c>
      <c r="CU106" t="str">
        <f t="shared" si="29"/>
        <v/>
      </c>
      <c r="CV106" s="81">
        <f t="shared" si="165"/>
        <v>50</v>
      </c>
      <c r="CW106" s="81">
        <f>(CV106/25)^1.5*(Calculator!$BU$4/10000)*CW$5</f>
        <v>7.3032986493698795</v>
      </c>
      <c r="CX106" t="str">
        <f t="shared" si="166"/>
        <v>$50</v>
      </c>
    </row>
    <row r="107" spans="2:102" x14ac:dyDescent="0.25">
      <c r="B107" s="115" t="s">
        <v>233</v>
      </c>
      <c r="C107" s="13">
        <v>46236.341666666667</v>
      </c>
      <c r="D107">
        <v>27876</v>
      </c>
      <c r="E107" s="54" t="s">
        <v>237</v>
      </c>
      <c r="F107" s="54" t="s">
        <v>486</v>
      </c>
      <c r="G107" s="54" t="s">
        <v>2146</v>
      </c>
      <c r="H107" s="55">
        <v>12.6</v>
      </c>
      <c r="I107" s="55">
        <v>12.2</v>
      </c>
      <c r="J107" s="55">
        <v>12</v>
      </c>
      <c r="K107" s="54"/>
      <c r="L107" s="56" t="b">
        <v>0</v>
      </c>
      <c r="M107" s="56" t="b">
        <v>0</v>
      </c>
      <c r="N107" s="54">
        <v>1</v>
      </c>
      <c r="O107" s="54" t="s">
        <v>228</v>
      </c>
      <c r="P107" s="54">
        <v>24</v>
      </c>
      <c r="Q107" s="54">
        <v>5</v>
      </c>
      <c r="R107" s="54">
        <v>50</v>
      </c>
      <c r="S107" s="54" t="s">
        <v>2139</v>
      </c>
      <c r="T107" s="54" t="s">
        <v>2147</v>
      </c>
      <c r="U107" s="54" t="s">
        <v>2114</v>
      </c>
      <c r="V107" s="54" t="s">
        <v>2140</v>
      </c>
      <c r="W107" s="54" t="b">
        <v>0</v>
      </c>
      <c r="X107" s="54"/>
      <c r="Y107" s="57" t="s">
        <v>2160</v>
      </c>
      <c r="Z107" s="54" t="s">
        <v>2141</v>
      </c>
      <c r="AA107" s="54"/>
      <c r="AB107" s="54" t="s">
        <v>2142</v>
      </c>
      <c r="AC107" s="56" t="b">
        <v>0</v>
      </c>
      <c r="AD107" s="56" t="b">
        <v>0</v>
      </c>
      <c r="AE107" s="54" t="s">
        <v>303</v>
      </c>
      <c r="AF107" s="58">
        <v>46234</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5.7599999999999998E-2</v>
      </c>
      <c r="BC107" s="60"/>
      <c r="BD107" s="61"/>
      <c r="BE107" s="62" t="s">
        <v>293</v>
      </c>
      <c r="BF107" s="35">
        <f t="shared" si="0"/>
        <v>4.0600000000000005</v>
      </c>
      <c r="BG107" s="35">
        <f t="shared" si="0"/>
        <v>6.0295000000000001E-2</v>
      </c>
      <c r="BH107" s="35" t="str">
        <f t="shared" si="158"/>
        <v>Low</v>
      </c>
      <c r="BI107" s="110">
        <f t="shared" si="159"/>
        <v>0</v>
      </c>
      <c r="BJ107" s="83">
        <f>VLOOKUP($F107,REP_Info!$D$6:$H$250,5,FALSE)</f>
        <v>0.7</v>
      </c>
      <c r="BK107" s="30">
        <f t="shared" si="1"/>
        <v>12.6015</v>
      </c>
      <c r="BL107" s="30">
        <f t="shared" si="1"/>
        <v>12.195500000000003</v>
      </c>
      <c r="BM107" s="30">
        <f t="shared" si="1"/>
        <v>11.992500000000001</v>
      </c>
      <c r="BN107" s="29">
        <f t="shared" si="1"/>
        <v>11.924833333333334</v>
      </c>
      <c r="BO107" s="85" t="str">
        <f t="shared" si="2"/>
        <v>$$$</v>
      </c>
      <c r="BP107" s="88" t="str">
        <f t="shared" si="160"/>
        <v>$$$</v>
      </c>
      <c r="BQ107" s="88" t="str">
        <f t="shared" si="4"/>
        <v>$$$</v>
      </c>
      <c r="BR107" s="88" t="str">
        <f t="shared" si="5"/>
        <v>$$$</v>
      </c>
      <c r="BS107" s="29" t="e">
        <f t="shared" si="169"/>
        <v>#N/A</v>
      </c>
      <c r="BT107" s="29" t="e">
        <f t="shared" si="169"/>
        <v>#N/A</v>
      </c>
      <c r="BU107" s="29" t="e">
        <f t="shared" si="169"/>
        <v>#N/A</v>
      </c>
      <c r="BV107" s="29" t="e">
        <f t="shared" si="169"/>
        <v>#N/A</v>
      </c>
      <c r="BW107" s="29" t="e">
        <f t="shared" si="169"/>
        <v>#N/A</v>
      </c>
      <c r="BX107" s="29" t="e">
        <f t="shared" si="169"/>
        <v>#N/A</v>
      </c>
      <c r="BY107" s="29" t="e">
        <f t="shared" si="169"/>
        <v>#N/A</v>
      </c>
      <c r="BZ107" s="29" t="e">
        <f t="shared" si="169"/>
        <v>#N/A</v>
      </c>
      <c r="CA107" s="29" t="e">
        <f t="shared" si="169"/>
        <v>#N/A</v>
      </c>
      <c r="CB107" s="29" t="e">
        <f t="shared" si="169"/>
        <v>#N/A</v>
      </c>
      <c r="CC107" s="29" t="e">
        <f t="shared" si="169"/>
        <v>#N/A</v>
      </c>
      <c r="CD107" s="29" t="e">
        <f t="shared" si="169"/>
        <v>#N/A</v>
      </c>
      <c r="CE107" s="6" t="str">
        <f t="shared" si="167"/>
        <v/>
      </c>
      <c r="CF107" s="27" t="e">
        <f>IF(AND(CI107,NOT(AD107)),LOOKUP(CF$5,{0,750,1500},H107:J107),"")</f>
        <v>#N/A</v>
      </c>
      <c r="CG107" s="6" t="str">
        <f t="shared" si="168"/>
        <v/>
      </c>
      <c r="CH107" t="e">
        <f t="shared" si="161"/>
        <v>#N/A</v>
      </c>
      <c r="CI107" t="e">
        <f t="shared" si="162"/>
        <v>#N/A</v>
      </c>
      <c r="CJ107" s="6" t="e">
        <f t="shared" si="11"/>
        <v>#N/A</v>
      </c>
      <c r="CK107" s="6">
        <f t="shared" si="12"/>
        <v>1</v>
      </c>
      <c r="CL107" s="6">
        <f t="shared" si="26"/>
        <v>1</v>
      </c>
      <c r="CM107" s="6">
        <f t="shared" si="13"/>
        <v>1</v>
      </c>
      <c r="CN107" s="6">
        <f t="shared" si="14"/>
        <v>0</v>
      </c>
      <c r="CO107" s="6">
        <f t="shared" si="15"/>
        <v>1</v>
      </c>
      <c r="CP107" s="6">
        <f t="shared" si="16"/>
        <v>1</v>
      </c>
      <c r="CQ107" s="6">
        <f t="shared" si="163"/>
        <v>1</v>
      </c>
      <c r="CR107" s="81" t="str">
        <f t="shared" si="17"/>
        <v/>
      </c>
      <c r="CS107">
        <f t="shared" si="164"/>
        <v>25.2</v>
      </c>
      <c r="CT107">
        <f t="shared" si="19"/>
        <v>50</v>
      </c>
      <c r="CU107" t="str">
        <f t="shared" si="29"/>
        <v/>
      </c>
      <c r="CV107" s="81">
        <f t="shared" si="165"/>
        <v>50</v>
      </c>
      <c r="CW107" s="81">
        <f>(CV107/25)^1.5*(Calculator!$BU$4/10000)*CW$5</f>
        <v>7.3032986493698795</v>
      </c>
      <c r="CX107" t="str">
        <f t="shared" si="166"/>
        <v>$50</v>
      </c>
    </row>
    <row r="108" spans="2:102" x14ac:dyDescent="0.25">
      <c r="B108" s="115" t="s">
        <v>233</v>
      </c>
      <c r="C108" s="13">
        <v>46233.236805555556</v>
      </c>
      <c r="D108">
        <v>35104</v>
      </c>
      <c r="E108" s="54" t="s">
        <v>235</v>
      </c>
      <c r="F108" s="54" t="s">
        <v>486</v>
      </c>
      <c r="G108" s="54" t="s">
        <v>2149</v>
      </c>
      <c r="H108" s="55">
        <v>15.5</v>
      </c>
      <c r="I108" s="55">
        <v>11.5</v>
      </c>
      <c r="J108" s="55">
        <v>12.3</v>
      </c>
      <c r="K108" s="54" t="s">
        <v>2138</v>
      </c>
      <c r="L108" s="56" t="b">
        <v>0</v>
      </c>
      <c r="M108" s="56" t="b">
        <v>0</v>
      </c>
      <c r="N108" s="54">
        <v>1</v>
      </c>
      <c r="O108" s="54" t="s">
        <v>228</v>
      </c>
      <c r="P108" s="54">
        <v>24</v>
      </c>
      <c r="Q108" s="54">
        <v>14</v>
      </c>
      <c r="R108" s="54">
        <v>150</v>
      </c>
      <c r="S108" s="54" t="s">
        <v>2139</v>
      </c>
      <c r="T108" s="54"/>
      <c r="U108" s="54" t="s">
        <v>2126</v>
      </c>
      <c r="V108" s="54" t="s">
        <v>2140</v>
      </c>
      <c r="W108" s="54" t="b">
        <v>0</v>
      </c>
      <c r="X108" s="54"/>
      <c r="Y108" s="57" t="s">
        <v>2150</v>
      </c>
      <c r="Z108" s="54" t="s">
        <v>2141</v>
      </c>
      <c r="AA108" s="54"/>
      <c r="AB108" s="54" t="s">
        <v>2142</v>
      </c>
      <c r="AC108" s="56" t="b">
        <v>0</v>
      </c>
      <c r="AD108" s="56" t="b">
        <v>1</v>
      </c>
      <c r="AE108" s="54" t="s">
        <v>303</v>
      </c>
      <c r="AF108" s="58">
        <v>46232</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9.3600000000000003E-2</v>
      </c>
      <c r="BC108" s="60">
        <v>4.9000000000000004</v>
      </c>
      <c r="BD108" s="61">
        <v>5.1461E-2</v>
      </c>
      <c r="BE108" s="62" t="s">
        <v>293</v>
      </c>
      <c r="BF108" s="35">
        <f t="shared" si="0"/>
        <v>4.9000000000000004</v>
      </c>
      <c r="BG108" s="35">
        <f t="shared" si="0"/>
        <v>5.1461E-2</v>
      </c>
      <c r="BH108" s="35" t="str">
        <f t="shared" si="158"/>
        <v>High</v>
      </c>
      <c r="BI108" s="110">
        <f t="shared" si="159"/>
        <v>0</v>
      </c>
      <c r="BJ108" s="83">
        <f>VLOOKUP($F108,REP_Info!$D$6:$H$250,5,FALSE)</f>
        <v>0.7</v>
      </c>
      <c r="BK108" s="30">
        <f t="shared" si="1"/>
        <v>15.486099999999999</v>
      </c>
      <c r="BL108" s="30">
        <f t="shared" si="1"/>
        <v>11.496100000000002</v>
      </c>
      <c r="BM108" s="30">
        <f t="shared" si="1"/>
        <v>12.251100000000001</v>
      </c>
      <c r="BN108" s="29">
        <f t="shared" si="1"/>
        <v>13.002766666666668</v>
      </c>
      <c r="BO108" s="85" t="str">
        <f t="shared" si="2"/>
        <v>$$$</v>
      </c>
      <c r="BP108" s="88" t="str">
        <f t="shared" si="160"/>
        <v>$$$</v>
      </c>
      <c r="BQ108" s="88" t="str">
        <f t="shared" si="4"/>
        <v>$$$</v>
      </c>
      <c r="BR108" s="88" t="str">
        <f t="shared" si="5"/>
        <v>$$$</v>
      </c>
      <c r="BS108" s="29" t="e">
        <f t="shared" si="169"/>
        <v>#N/A</v>
      </c>
      <c r="BT108" s="29" t="e">
        <f t="shared" si="169"/>
        <v>#N/A</v>
      </c>
      <c r="BU108" s="29" t="e">
        <f t="shared" si="169"/>
        <v>#N/A</v>
      </c>
      <c r="BV108" s="29" t="e">
        <f t="shared" si="169"/>
        <v>#N/A</v>
      </c>
      <c r="BW108" s="29" t="e">
        <f t="shared" si="169"/>
        <v>#N/A</v>
      </c>
      <c r="BX108" s="29" t="e">
        <f t="shared" si="169"/>
        <v>#N/A</v>
      </c>
      <c r="BY108" s="29" t="e">
        <f t="shared" si="169"/>
        <v>#N/A</v>
      </c>
      <c r="BZ108" s="29" t="e">
        <f t="shared" si="169"/>
        <v>#N/A</v>
      </c>
      <c r="CA108" s="29" t="e">
        <f t="shared" si="169"/>
        <v>#N/A</v>
      </c>
      <c r="CB108" s="29" t="e">
        <f t="shared" si="169"/>
        <v>#N/A</v>
      </c>
      <c r="CC108" s="29" t="e">
        <f t="shared" si="169"/>
        <v>#N/A</v>
      </c>
      <c r="CD108" s="29" t="e">
        <f t="shared" si="169"/>
        <v>#N/A</v>
      </c>
      <c r="CE108" s="6" t="str">
        <f t="shared" si="167"/>
        <v/>
      </c>
      <c r="CF108" s="27" t="e">
        <f>IF(AND(CI108,NOT(AD108)),LOOKUP(CF$5,{0,750,1500},H108:J108),"")</f>
        <v>#N/A</v>
      </c>
      <c r="CG108" s="6" t="str">
        <f t="shared" si="168"/>
        <v/>
      </c>
      <c r="CH108" t="e">
        <f t="shared" si="161"/>
        <v>#N/A</v>
      </c>
      <c r="CI108" t="e">
        <f t="shared" si="162"/>
        <v>#N/A</v>
      </c>
      <c r="CJ108" s="6" t="e">
        <f t="shared" si="11"/>
        <v>#N/A</v>
      </c>
      <c r="CK108" s="6">
        <f t="shared" si="12"/>
        <v>1</v>
      </c>
      <c r="CL108" s="6">
        <f t="shared" si="26"/>
        <v>1</v>
      </c>
      <c r="CM108" s="6">
        <f t="shared" si="13"/>
        <v>1</v>
      </c>
      <c r="CN108" s="6">
        <f t="shared" si="14"/>
        <v>1</v>
      </c>
      <c r="CO108" s="6">
        <f t="shared" si="15"/>
        <v>0</v>
      </c>
      <c r="CP108" s="6">
        <f t="shared" si="16"/>
        <v>1</v>
      </c>
      <c r="CQ108" s="6">
        <f t="shared" si="163"/>
        <v>1</v>
      </c>
      <c r="CR108" s="81" t="str">
        <f t="shared" si="17"/>
        <v/>
      </c>
      <c r="CS108">
        <f t="shared" si="164"/>
        <v>0</v>
      </c>
      <c r="CT108">
        <f t="shared" si="19"/>
        <v>150</v>
      </c>
      <c r="CU108" t="str">
        <f t="shared" si="29"/>
        <v/>
      </c>
      <c r="CV108" s="81">
        <f t="shared" si="165"/>
        <v>150</v>
      </c>
      <c r="CW108" s="81">
        <f>(CV108/25)^1.5*(Calculator!$BU$4/10000)*CW$5</f>
        <v>37.949052970673385</v>
      </c>
      <c r="CX108" t="str">
        <f t="shared" si="166"/>
        <v>$150</v>
      </c>
    </row>
    <row r="109" spans="2:102" x14ac:dyDescent="0.25">
      <c r="B109" s="115" t="s">
        <v>233</v>
      </c>
      <c r="C109" s="13">
        <v>46233.236805555556</v>
      </c>
      <c r="D109">
        <v>36171</v>
      </c>
      <c r="E109" s="54" t="s">
        <v>235</v>
      </c>
      <c r="F109" s="54" t="s">
        <v>486</v>
      </c>
      <c r="G109" s="54" t="s">
        <v>2151</v>
      </c>
      <c r="H109" s="55">
        <v>16</v>
      </c>
      <c r="I109" s="55">
        <v>12</v>
      </c>
      <c r="J109" s="55">
        <v>12.8</v>
      </c>
      <c r="K109" s="54" t="s">
        <v>2138</v>
      </c>
      <c r="L109" s="56" t="b">
        <v>0</v>
      </c>
      <c r="M109" s="56" t="b">
        <v>0</v>
      </c>
      <c r="N109" s="54">
        <v>1</v>
      </c>
      <c r="O109" s="54" t="s">
        <v>228</v>
      </c>
      <c r="P109" s="54">
        <v>24</v>
      </c>
      <c r="Q109" s="54">
        <v>36</v>
      </c>
      <c r="R109" s="54">
        <v>150</v>
      </c>
      <c r="S109" s="54" t="s">
        <v>2139</v>
      </c>
      <c r="T109" s="54"/>
      <c r="U109" s="54" t="s">
        <v>2124</v>
      </c>
      <c r="V109" s="54" t="s">
        <v>2140</v>
      </c>
      <c r="W109" s="54" t="b">
        <v>0</v>
      </c>
      <c r="X109" s="54"/>
      <c r="Y109" s="57" t="s">
        <v>2152</v>
      </c>
      <c r="Z109" s="54" t="s">
        <v>2141</v>
      </c>
      <c r="AA109" s="54"/>
      <c r="AB109" s="54" t="s">
        <v>2142</v>
      </c>
      <c r="AC109" s="56" t="b">
        <v>0</v>
      </c>
      <c r="AD109" s="56" t="b">
        <v>1</v>
      </c>
      <c r="AE109" s="54" t="s">
        <v>303</v>
      </c>
      <c r="AF109" s="58">
        <v>46232</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9.8599999999999993E-2</v>
      </c>
      <c r="BC109" s="60">
        <v>4.9000000000000004</v>
      </c>
      <c r="BD109" s="61">
        <v>5.1461E-2</v>
      </c>
      <c r="BE109" s="62" t="s">
        <v>293</v>
      </c>
      <c r="BF109" s="35">
        <f t="shared" si="0"/>
        <v>4.9000000000000004</v>
      </c>
      <c r="BG109" s="35">
        <f t="shared" si="0"/>
        <v>5.1461E-2</v>
      </c>
      <c r="BH109" s="35" t="str">
        <f t="shared" si="158"/>
        <v>High</v>
      </c>
      <c r="BI109" s="110">
        <f t="shared" si="159"/>
        <v>0</v>
      </c>
      <c r="BJ109" s="83">
        <f>VLOOKUP($F109,REP_Info!$D$6:$H$250,5,FALSE)</f>
        <v>0.7</v>
      </c>
      <c r="BK109" s="30">
        <f t="shared" si="1"/>
        <v>15.986099999999999</v>
      </c>
      <c r="BL109" s="30">
        <f t="shared" si="1"/>
        <v>11.9961</v>
      </c>
      <c r="BM109" s="30">
        <f t="shared" si="1"/>
        <v>12.751100000000001</v>
      </c>
      <c r="BN109" s="29">
        <f t="shared" si="1"/>
        <v>13.502766666666664</v>
      </c>
      <c r="BO109" s="85" t="str">
        <f t="shared" si="2"/>
        <v>$$$</v>
      </c>
      <c r="BP109" s="88" t="str">
        <f t="shared" si="160"/>
        <v>$$$</v>
      </c>
      <c r="BQ109" s="88" t="str">
        <f t="shared" si="4"/>
        <v>$$$</v>
      </c>
      <c r="BR109" s="88" t="str">
        <f t="shared" si="5"/>
        <v>$$$</v>
      </c>
      <c r="BS109" s="29" t="e">
        <f t="shared" si="169"/>
        <v>#N/A</v>
      </c>
      <c r="BT109" s="29" t="e">
        <f t="shared" si="169"/>
        <v>#N/A</v>
      </c>
      <c r="BU109" s="29" t="e">
        <f t="shared" si="169"/>
        <v>#N/A</v>
      </c>
      <c r="BV109" s="29" t="e">
        <f t="shared" si="169"/>
        <v>#N/A</v>
      </c>
      <c r="BW109" s="29" t="e">
        <f t="shared" si="169"/>
        <v>#N/A</v>
      </c>
      <c r="BX109" s="29" t="e">
        <f t="shared" si="169"/>
        <v>#N/A</v>
      </c>
      <c r="BY109" s="29" t="e">
        <f t="shared" si="169"/>
        <v>#N/A</v>
      </c>
      <c r="BZ109" s="29" t="e">
        <f t="shared" si="169"/>
        <v>#N/A</v>
      </c>
      <c r="CA109" s="29" t="e">
        <f t="shared" si="169"/>
        <v>#N/A</v>
      </c>
      <c r="CB109" s="29" t="e">
        <f t="shared" si="169"/>
        <v>#N/A</v>
      </c>
      <c r="CC109" s="29" t="e">
        <f t="shared" si="169"/>
        <v>#N/A</v>
      </c>
      <c r="CD109" s="29" t="e">
        <f t="shared" si="169"/>
        <v>#N/A</v>
      </c>
      <c r="CE109" s="6" t="str">
        <f t="shared" si="167"/>
        <v/>
      </c>
      <c r="CF109" s="27" t="e">
        <f>IF(AND(CI109,NOT(AD109)),LOOKUP(CF$5,{0,750,1500},H109:J109),"")</f>
        <v>#N/A</v>
      </c>
      <c r="CG109" s="6" t="str">
        <f t="shared" si="168"/>
        <v/>
      </c>
      <c r="CH109" t="e">
        <f t="shared" si="161"/>
        <v>#N/A</v>
      </c>
      <c r="CI109" t="e">
        <f t="shared" si="162"/>
        <v>#N/A</v>
      </c>
      <c r="CJ109" s="6" t="e">
        <f t="shared" si="11"/>
        <v>#N/A</v>
      </c>
      <c r="CK109" s="6">
        <f t="shared" si="12"/>
        <v>1</v>
      </c>
      <c r="CL109" s="6">
        <f t="shared" si="26"/>
        <v>1</v>
      </c>
      <c r="CM109" s="6">
        <f t="shared" si="13"/>
        <v>1</v>
      </c>
      <c r="CN109" s="6">
        <f t="shared" si="14"/>
        <v>1</v>
      </c>
      <c r="CO109" s="6">
        <f t="shared" si="15"/>
        <v>0</v>
      </c>
      <c r="CP109" s="6">
        <f t="shared" si="16"/>
        <v>1</v>
      </c>
      <c r="CQ109" s="6">
        <f t="shared" si="163"/>
        <v>1</v>
      </c>
      <c r="CR109" s="81" t="str">
        <f t="shared" si="17"/>
        <v/>
      </c>
      <c r="CS109">
        <f t="shared" si="164"/>
        <v>0</v>
      </c>
      <c r="CT109">
        <f t="shared" si="19"/>
        <v>150</v>
      </c>
      <c r="CU109" t="str">
        <f t="shared" si="29"/>
        <v/>
      </c>
      <c r="CV109" s="81">
        <f t="shared" si="165"/>
        <v>150</v>
      </c>
      <c r="CW109" s="81">
        <f>(CV109/25)^1.5*(Calculator!$BU$4/10000)*CW$5</f>
        <v>37.949052970673385</v>
      </c>
      <c r="CX109" t="str">
        <f t="shared" si="166"/>
        <v>$150</v>
      </c>
    </row>
    <row r="110" spans="2:102" x14ac:dyDescent="0.25">
      <c r="B110" s="115" t="s">
        <v>233</v>
      </c>
      <c r="C110" s="13">
        <v>46236.341666666667</v>
      </c>
      <c r="D110">
        <v>36172</v>
      </c>
      <c r="E110" s="54" t="s">
        <v>237</v>
      </c>
      <c r="F110" s="54" t="s">
        <v>486</v>
      </c>
      <c r="G110" s="54" t="s">
        <v>2151</v>
      </c>
      <c r="H110" s="55">
        <v>17.299999999999997</v>
      </c>
      <c r="I110" s="55">
        <v>13.4</v>
      </c>
      <c r="J110" s="55">
        <v>14.2</v>
      </c>
      <c r="K110" s="54" t="s">
        <v>2138</v>
      </c>
      <c r="L110" s="56" t="b">
        <v>0</v>
      </c>
      <c r="M110" s="56" t="b">
        <v>0</v>
      </c>
      <c r="N110" s="54">
        <v>1</v>
      </c>
      <c r="O110" s="54" t="s">
        <v>228</v>
      </c>
      <c r="P110" s="54">
        <v>24</v>
      </c>
      <c r="Q110" s="54">
        <v>36</v>
      </c>
      <c r="R110" s="54">
        <v>150</v>
      </c>
      <c r="S110" s="54" t="s">
        <v>2139</v>
      </c>
      <c r="T110" s="54"/>
      <c r="U110" s="54" t="s">
        <v>2120</v>
      </c>
      <c r="V110" s="54" t="s">
        <v>2140</v>
      </c>
      <c r="W110" s="54" t="b">
        <v>0</v>
      </c>
      <c r="X110" s="54"/>
      <c r="Y110" s="57" t="s">
        <v>2161</v>
      </c>
      <c r="Z110" s="54" t="s">
        <v>2141</v>
      </c>
      <c r="AA110" s="54"/>
      <c r="AB110" s="54" t="s">
        <v>2142</v>
      </c>
      <c r="AC110" s="56" t="b">
        <v>0</v>
      </c>
      <c r="AD110" s="56" t="b">
        <v>1</v>
      </c>
      <c r="AE110" s="54" t="s">
        <v>303</v>
      </c>
      <c r="AF110" s="58">
        <v>46234</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0.1046</v>
      </c>
      <c r="BC110" s="60">
        <v>4.0599999999999996</v>
      </c>
      <c r="BD110" s="61">
        <v>6.0295000000000001E-2</v>
      </c>
      <c r="BE110" s="62" t="s">
        <v>293</v>
      </c>
      <c r="BF110" s="35">
        <f t="shared" si="0"/>
        <v>4.0600000000000005</v>
      </c>
      <c r="BG110" s="35">
        <f t="shared" si="0"/>
        <v>6.0295000000000001E-2</v>
      </c>
      <c r="BH110" s="35" t="str">
        <f t="shared" si="158"/>
        <v>High</v>
      </c>
      <c r="BI110" s="110">
        <f t="shared" si="159"/>
        <v>0</v>
      </c>
      <c r="BJ110" s="83">
        <f>VLOOKUP($F110,REP_Info!$D$6:$H$250,5,FALSE)</f>
        <v>0.7</v>
      </c>
      <c r="BK110" s="30">
        <f t="shared" si="1"/>
        <v>17.301500000000001</v>
      </c>
      <c r="BL110" s="30">
        <f t="shared" si="1"/>
        <v>13.395499999999998</v>
      </c>
      <c r="BM110" s="30">
        <f t="shared" si="1"/>
        <v>14.192500000000003</v>
      </c>
      <c r="BN110" s="29">
        <f t="shared" si="1"/>
        <v>14.958166666666667</v>
      </c>
      <c r="BO110" s="85" t="str">
        <f t="shared" si="2"/>
        <v>$$$</v>
      </c>
      <c r="BP110" s="88" t="str">
        <f t="shared" si="160"/>
        <v>$$$</v>
      </c>
      <c r="BQ110" s="88" t="str">
        <f t="shared" si="4"/>
        <v>$$$</v>
      </c>
      <c r="BR110" s="88" t="str">
        <f t="shared" si="5"/>
        <v>$$$</v>
      </c>
      <c r="BS110" s="29" t="e">
        <f t="shared" si="169"/>
        <v>#N/A</v>
      </c>
      <c r="BT110" s="29" t="e">
        <f t="shared" si="169"/>
        <v>#N/A</v>
      </c>
      <c r="BU110" s="29" t="e">
        <f t="shared" si="169"/>
        <v>#N/A</v>
      </c>
      <c r="BV110" s="29" t="e">
        <f t="shared" si="169"/>
        <v>#N/A</v>
      </c>
      <c r="BW110" s="29" t="e">
        <f t="shared" si="169"/>
        <v>#N/A</v>
      </c>
      <c r="BX110" s="29" t="e">
        <f t="shared" si="169"/>
        <v>#N/A</v>
      </c>
      <c r="BY110" s="29" t="e">
        <f t="shared" si="169"/>
        <v>#N/A</v>
      </c>
      <c r="BZ110" s="29" t="e">
        <f t="shared" si="169"/>
        <v>#N/A</v>
      </c>
      <c r="CA110" s="29" t="e">
        <f t="shared" si="169"/>
        <v>#N/A</v>
      </c>
      <c r="CB110" s="29" t="e">
        <f t="shared" si="169"/>
        <v>#N/A</v>
      </c>
      <c r="CC110" s="29" t="e">
        <f t="shared" si="169"/>
        <v>#N/A</v>
      </c>
      <c r="CD110" s="29" t="e">
        <f t="shared" si="169"/>
        <v>#N/A</v>
      </c>
      <c r="CE110" s="6" t="str">
        <f t="shared" si="167"/>
        <v/>
      </c>
      <c r="CF110" s="27" t="e">
        <f>IF(AND(CI110,NOT(AD110)),LOOKUP(CF$5,{0,750,1500},H110:J110),"")</f>
        <v>#N/A</v>
      </c>
      <c r="CG110" s="6" t="str">
        <f t="shared" si="168"/>
        <v/>
      </c>
      <c r="CH110" t="e">
        <f t="shared" si="161"/>
        <v>#N/A</v>
      </c>
      <c r="CI110" t="e">
        <f t="shared" si="162"/>
        <v>#N/A</v>
      </c>
      <c r="CJ110" s="6" t="e">
        <f t="shared" si="11"/>
        <v>#N/A</v>
      </c>
      <c r="CK110" s="6">
        <f t="shared" si="12"/>
        <v>1</v>
      </c>
      <c r="CL110" s="6">
        <f t="shared" si="26"/>
        <v>1</v>
      </c>
      <c r="CM110" s="6">
        <f t="shared" si="13"/>
        <v>1</v>
      </c>
      <c r="CN110" s="6">
        <f t="shared" si="14"/>
        <v>1</v>
      </c>
      <c r="CO110" s="6">
        <f t="shared" si="15"/>
        <v>0</v>
      </c>
      <c r="CP110" s="6">
        <f t="shared" si="16"/>
        <v>1</v>
      </c>
      <c r="CQ110" s="6">
        <f t="shared" si="163"/>
        <v>1</v>
      </c>
      <c r="CR110" s="81" t="str">
        <f t="shared" si="17"/>
        <v/>
      </c>
      <c r="CS110">
        <f t="shared" si="164"/>
        <v>0</v>
      </c>
      <c r="CT110">
        <f t="shared" si="19"/>
        <v>150</v>
      </c>
      <c r="CU110" t="str">
        <f t="shared" si="29"/>
        <v/>
      </c>
      <c r="CV110" s="81">
        <f t="shared" si="165"/>
        <v>150</v>
      </c>
      <c r="CW110" s="81">
        <f>(CV110/25)^1.5*(Calculator!$BU$4/10000)*CW$5</f>
        <v>37.949052970673385</v>
      </c>
      <c r="CX110" t="str">
        <f t="shared" si="166"/>
        <v>$150</v>
      </c>
    </row>
    <row r="111" spans="2:102" x14ac:dyDescent="0.25">
      <c r="B111" s="115" t="s">
        <v>233</v>
      </c>
      <c r="C111" s="13">
        <v>46218.518055555556</v>
      </c>
      <c r="D111">
        <v>26872</v>
      </c>
      <c r="E111" s="54" t="s">
        <v>235</v>
      </c>
      <c r="F111" s="54" t="s">
        <v>487</v>
      </c>
      <c r="G111" s="54" t="s">
        <v>488</v>
      </c>
      <c r="H111" s="55">
        <v>15.8</v>
      </c>
      <c r="I111" s="55">
        <v>14.799999999999999</v>
      </c>
      <c r="J111" s="55">
        <v>14.299999999999999</v>
      </c>
      <c r="K111" s="54"/>
      <c r="L111" s="56" t="b">
        <v>0</v>
      </c>
      <c r="M111" s="56" t="b">
        <v>0</v>
      </c>
      <c r="N111" s="54">
        <v>1</v>
      </c>
      <c r="O111" s="54" t="s">
        <v>228</v>
      </c>
      <c r="P111" s="54">
        <v>24</v>
      </c>
      <c r="Q111" s="54">
        <v>24</v>
      </c>
      <c r="R111" s="54">
        <v>295</v>
      </c>
      <c r="S111" s="54" t="s">
        <v>497</v>
      </c>
      <c r="T111" s="54" t="s">
        <v>489</v>
      </c>
      <c r="U111" s="54" t="s">
        <v>490</v>
      </c>
      <c r="V111" s="54" t="s">
        <v>491</v>
      </c>
      <c r="W111" s="54" t="b">
        <v>0</v>
      </c>
      <c r="X111" s="54"/>
      <c r="Y111" s="57" t="s">
        <v>1664</v>
      </c>
      <c r="Z111" s="54" t="s">
        <v>492</v>
      </c>
      <c r="AA111" s="54"/>
      <c r="AB111" s="54" t="s">
        <v>493</v>
      </c>
      <c r="AC111" s="56" t="b">
        <v>1</v>
      </c>
      <c r="AD111" s="56" t="b">
        <v>0</v>
      </c>
      <c r="AE111" s="54" t="s">
        <v>303</v>
      </c>
      <c r="AF111" s="58">
        <v>46174</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8.6581000000000005E-2</v>
      </c>
      <c r="BC111" s="60">
        <v>4.9000000000000004</v>
      </c>
      <c r="BD111" s="61">
        <v>5.1461E-2</v>
      </c>
      <c r="BE111" s="62" t="s">
        <v>293</v>
      </c>
      <c r="BF111" s="35">
        <f t="shared" si="0"/>
        <v>4.9000000000000004</v>
      </c>
      <c r="BG111" s="35">
        <f t="shared" si="0"/>
        <v>5.1461E-2</v>
      </c>
      <c r="BH111" s="35" t="str">
        <f t="shared" si="158"/>
        <v>Med</v>
      </c>
      <c r="BI111" s="110">
        <f t="shared" si="159"/>
        <v>0</v>
      </c>
      <c r="BJ111" s="83">
        <f>VLOOKUP($F111,REP_Info!$D$6:$H$250,5,FALSE)</f>
        <v>1.0129999999999999</v>
      </c>
      <c r="BK111" s="30">
        <f t="shared" si="1"/>
        <v>15.774200000000002</v>
      </c>
      <c r="BL111" s="30">
        <f t="shared" si="1"/>
        <v>14.789199999999999</v>
      </c>
      <c r="BM111" s="30">
        <f t="shared" si="1"/>
        <v>14.2967</v>
      </c>
      <c r="BN111" s="29">
        <f t="shared" si="1"/>
        <v>14.132533333333333</v>
      </c>
      <c r="BO111" s="85" t="str">
        <f t="shared" si="2"/>
        <v>$$$</v>
      </c>
      <c r="BP111" s="88" t="str">
        <f t="shared" si="160"/>
        <v>$$$</v>
      </c>
      <c r="BQ111" s="88" t="str">
        <f t="shared" si="4"/>
        <v>$$$</v>
      </c>
      <c r="BR111" s="88" t="str">
        <f t="shared" si="5"/>
        <v>$$$</v>
      </c>
      <c r="BS111" s="29" t="e">
        <f t="shared" si="169"/>
        <v>#N/A</v>
      </c>
      <c r="BT111" s="29" t="e">
        <f t="shared" si="169"/>
        <v>#N/A</v>
      </c>
      <c r="BU111" s="29" t="e">
        <f t="shared" si="169"/>
        <v>#N/A</v>
      </c>
      <c r="BV111" s="29" t="e">
        <f t="shared" si="169"/>
        <v>#N/A</v>
      </c>
      <c r="BW111" s="29" t="e">
        <f t="shared" si="169"/>
        <v>#N/A</v>
      </c>
      <c r="BX111" s="29" t="e">
        <f t="shared" si="169"/>
        <v>#N/A</v>
      </c>
      <c r="BY111" s="29" t="e">
        <f t="shared" si="169"/>
        <v>#N/A</v>
      </c>
      <c r="BZ111" s="29" t="e">
        <f t="shared" si="169"/>
        <v>#N/A</v>
      </c>
      <c r="CA111" s="29" t="e">
        <f t="shared" si="169"/>
        <v>#N/A</v>
      </c>
      <c r="CB111" s="29" t="e">
        <f t="shared" si="169"/>
        <v>#N/A</v>
      </c>
      <c r="CC111" s="29" t="e">
        <f t="shared" si="169"/>
        <v>#N/A</v>
      </c>
      <c r="CD111" s="29" t="e">
        <f t="shared" si="169"/>
        <v>#N/A</v>
      </c>
      <c r="CE111" s="6" t="str">
        <f t="shared" si="167"/>
        <v/>
      </c>
      <c r="CF111" s="27" t="e">
        <f>IF(AND(CI111,NOT(AD111)),LOOKUP(CF$5,{0,750,1500},H111:J111),"")</f>
        <v>#N/A</v>
      </c>
      <c r="CG111" s="6" t="str">
        <f t="shared" si="168"/>
        <v/>
      </c>
      <c r="CH111" t="e">
        <f t="shared" si="161"/>
        <v>#N/A</v>
      </c>
      <c r="CI111" t="e">
        <f t="shared" si="162"/>
        <v>#N/A</v>
      </c>
      <c r="CJ111" s="6" t="e">
        <f t="shared" si="11"/>
        <v>#N/A</v>
      </c>
      <c r="CK111" s="6">
        <f t="shared" si="12"/>
        <v>1</v>
      </c>
      <c r="CL111" s="6">
        <f t="shared" si="26"/>
        <v>1</v>
      </c>
      <c r="CM111" s="6">
        <f t="shared" si="13"/>
        <v>1</v>
      </c>
      <c r="CN111" s="6">
        <f t="shared" si="14"/>
        <v>1</v>
      </c>
      <c r="CO111" s="6">
        <f t="shared" si="15"/>
        <v>0</v>
      </c>
      <c r="CP111" s="6">
        <f t="shared" si="16"/>
        <v>1</v>
      </c>
      <c r="CQ111" s="6">
        <f t="shared" si="163"/>
        <v>1</v>
      </c>
      <c r="CR111" s="81" t="str">
        <f t="shared" si="17"/>
        <v/>
      </c>
      <c r="CS111">
        <f t="shared" si="164"/>
        <v>0</v>
      </c>
      <c r="CT111">
        <f t="shared" si="19"/>
        <v>295</v>
      </c>
      <c r="CU111" t="str">
        <f t="shared" si="29"/>
        <v/>
      </c>
      <c r="CV111" s="81">
        <f t="shared" si="165"/>
        <v>295</v>
      </c>
      <c r="CW111" s="81">
        <f>(CV111/25)^1.5*(Calculator!$BU$4/10000)*CW$5</f>
        <v>104.66393961177546</v>
      </c>
      <c r="CX111" t="str">
        <f t="shared" si="166"/>
        <v>$295</v>
      </c>
    </row>
    <row r="112" spans="2:102" x14ac:dyDescent="0.25">
      <c r="B112" s="115" t="s">
        <v>233</v>
      </c>
      <c r="C112" s="13">
        <v>46237.767361111109</v>
      </c>
      <c r="D112">
        <v>26874</v>
      </c>
      <c r="E112" s="54" t="s">
        <v>237</v>
      </c>
      <c r="F112" s="54" t="s">
        <v>487</v>
      </c>
      <c r="G112" s="54" t="s">
        <v>488</v>
      </c>
      <c r="H112" s="55">
        <v>16.7</v>
      </c>
      <c r="I112" s="55">
        <v>15.8</v>
      </c>
      <c r="J112" s="55">
        <v>15.4</v>
      </c>
      <c r="K112" s="54"/>
      <c r="L112" s="56" t="b">
        <v>0</v>
      </c>
      <c r="M112" s="56" t="b">
        <v>0</v>
      </c>
      <c r="N112" s="54">
        <v>1</v>
      </c>
      <c r="O112" s="54" t="s">
        <v>228</v>
      </c>
      <c r="P112" s="54">
        <v>24</v>
      </c>
      <c r="Q112" s="54">
        <v>24</v>
      </c>
      <c r="R112" s="54">
        <v>295</v>
      </c>
      <c r="S112" s="54" t="s">
        <v>497</v>
      </c>
      <c r="T112" s="54" t="s">
        <v>489</v>
      </c>
      <c r="U112" s="54" t="s">
        <v>490</v>
      </c>
      <c r="V112" s="54" t="s">
        <v>491</v>
      </c>
      <c r="W112" s="54" t="b">
        <v>0</v>
      </c>
      <c r="X112" s="54"/>
      <c r="Y112" s="57" t="s">
        <v>2253</v>
      </c>
      <c r="Z112" s="54" t="s">
        <v>2254</v>
      </c>
      <c r="AA112" s="54"/>
      <c r="AB112" s="54" t="s">
        <v>493</v>
      </c>
      <c r="AC112" s="56" t="b">
        <v>1</v>
      </c>
      <c r="AD112" s="56" t="b">
        <v>0</v>
      </c>
      <c r="AE112" s="54" t="s">
        <v>303</v>
      </c>
      <c r="AF112" s="58">
        <v>46235</v>
      </c>
      <c r="AG112" s="62" t="s">
        <v>293</v>
      </c>
      <c r="AH112" s="54">
        <v>0</v>
      </c>
      <c r="AI112" s="54"/>
      <c r="AJ112" s="54"/>
      <c r="AK112" s="54"/>
      <c r="AL112" s="54"/>
      <c r="AM112" s="54">
        <v>4.95</v>
      </c>
      <c r="AN112" s="54"/>
      <c r="AO112" s="54"/>
      <c r="AP112" s="54"/>
      <c r="AQ112" s="54"/>
      <c r="AR112" s="54"/>
      <c r="AS112" s="54"/>
      <c r="AT112" s="54"/>
      <c r="AU112" s="54"/>
      <c r="AV112" s="54"/>
      <c r="AW112" s="54"/>
      <c r="AX112" s="59"/>
      <c r="AY112" s="59"/>
      <c r="AZ112" s="59"/>
      <c r="BA112" s="59"/>
      <c r="BB112" s="59">
        <v>8.8725999999999999E-2</v>
      </c>
      <c r="BC112" s="60">
        <v>4.0599999999999996</v>
      </c>
      <c r="BD112" s="61">
        <v>6.0295000000000001E-2</v>
      </c>
      <c r="BE112" s="62" t="s">
        <v>293</v>
      </c>
      <c r="BF112" s="35">
        <f t="shared" si="0"/>
        <v>4.0600000000000005</v>
      </c>
      <c r="BG112" s="35">
        <f t="shared" si="0"/>
        <v>6.0295000000000001E-2</v>
      </c>
      <c r="BH112" s="35" t="str">
        <f t="shared" si="158"/>
        <v>Med</v>
      </c>
      <c r="BI112" s="110">
        <f t="shared" si="159"/>
        <v>0</v>
      </c>
      <c r="BJ112" s="83">
        <f>VLOOKUP($F112,REP_Info!$D$6:$H$250,5,FALSE)</f>
        <v>1.0129999999999999</v>
      </c>
      <c r="BK112" s="30">
        <f t="shared" si="1"/>
        <v>16.704099999999997</v>
      </c>
      <c r="BL112" s="30">
        <f t="shared" si="1"/>
        <v>15.803100000000001</v>
      </c>
      <c r="BM112" s="30">
        <f t="shared" si="1"/>
        <v>15.352600000000001</v>
      </c>
      <c r="BN112" s="29">
        <f t="shared" si="1"/>
        <v>15.202433333333332</v>
      </c>
      <c r="BO112" s="85" t="str">
        <f t="shared" si="2"/>
        <v>$$$</v>
      </c>
      <c r="BP112" s="88" t="str">
        <f t="shared" si="160"/>
        <v>$$$</v>
      </c>
      <c r="BQ112" s="88" t="str">
        <f t="shared" si="4"/>
        <v>$$$</v>
      </c>
      <c r="BR112" s="88" t="str">
        <f t="shared" si="5"/>
        <v>$$$</v>
      </c>
      <c r="BS112" s="29" t="e">
        <f t="shared" si="169"/>
        <v>#N/A</v>
      </c>
      <c r="BT112" s="29" t="e">
        <f t="shared" si="169"/>
        <v>#N/A</v>
      </c>
      <c r="BU112" s="29" t="e">
        <f t="shared" si="169"/>
        <v>#N/A</v>
      </c>
      <c r="BV112" s="29" t="e">
        <f t="shared" si="169"/>
        <v>#N/A</v>
      </c>
      <c r="BW112" s="29" t="e">
        <f t="shared" si="169"/>
        <v>#N/A</v>
      </c>
      <c r="BX112" s="29" t="e">
        <f t="shared" si="169"/>
        <v>#N/A</v>
      </c>
      <c r="BY112" s="29" t="e">
        <f t="shared" si="169"/>
        <v>#N/A</v>
      </c>
      <c r="BZ112" s="29" t="e">
        <f t="shared" si="169"/>
        <v>#N/A</v>
      </c>
      <c r="CA112" s="29" t="e">
        <f t="shared" si="169"/>
        <v>#N/A</v>
      </c>
      <c r="CB112" s="29" t="e">
        <f t="shared" si="169"/>
        <v>#N/A</v>
      </c>
      <c r="CC112" s="29" t="e">
        <f t="shared" si="169"/>
        <v>#N/A</v>
      </c>
      <c r="CD112" s="29" t="e">
        <f t="shared" si="169"/>
        <v>#N/A</v>
      </c>
      <c r="CE112" s="6" t="str">
        <f t="shared" si="167"/>
        <v/>
      </c>
      <c r="CF112" s="27" t="e">
        <f>IF(AND(CI112,NOT(AD112)),LOOKUP(CF$5,{0,750,1500},H112:J112),"")</f>
        <v>#N/A</v>
      </c>
      <c r="CG112" s="6" t="str">
        <f t="shared" si="168"/>
        <v/>
      </c>
      <c r="CH112" t="e">
        <f t="shared" si="161"/>
        <v>#N/A</v>
      </c>
      <c r="CI112" t="e">
        <f t="shared" si="162"/>
        <v>#N/A</v>
      </c>
      <c r="CJ112" s="6" t="e">
        <f t="shared" si="11"/>
        <v>#N/A</v>
      </c>
      <c r="CK112" s="6">
        <f t="shared" si="12"/>
        <v>1</v>
      </c>
      <c r="CL112" s="6">
        <f t="shared" si="26"/>
        <v>1</v>
      </c>
      <c r="CM112" s="6">
        <f t="shared" si="13"/>
        <v>1</v>
      </c>
      <c r="CN112" s="6">
        <f t="shared" si="14"/>
        <v>1</v>
      </c>
      <c r="CO112" s="6">
        <f t="shared" si="15"/>
        <v>0</v>
      </c>
      <c r="CP112" s="6">
        <f t="shared" si="16"/>
        <v>1</v>
      </c>
      <c r="CQ112" s="6">
        <f t="shared" si="163"/>
        <v>1</v>
      </c>
      <c r="CR112" s="81" t="str">
        <f t="shared" si="17"/>
        <v/>
      </c>
      <c r="CS112">
        <f t="shared" si="164"/>
        <v>0</v>
      </c>
      <c r="CT112">
        <f t="shared" si="19"/>
        <v>295</v>
      </c>
      <c r="CU112" t="str">
        <f t="shared" si="29"/>
        <v/>
      </c>
      <c r="CV112" s="81">
        <f t="shared" si="165"/>
        <v>295</v>
      </c>
      <c r="CW112" s="81">
        <f>(CV112/25)^1.5*(Calculator!$BU$4/10000)*CW$5</f>
        <v>104.66393961177546</v>
      </c>
      <c r="CX112" t="str">
        <f t="shared" si="166"/>
        <v>$295</v>
      </c>
    </row>
    <row r="113" spans="2:102" x14ac:dyDescent="0.25">
      <c r="B113" s="115" t="s">
        <v>233</v>
      </c>
      <c r="C113" s="13">
        <v>46218.518055555556</v>
      </c>
      <c r="D113">
        <v>26882</v>
      </c>
      <c r="E113" s="54" t="s">
        <v>235</v>
      </c>
      <c r="F113" s="54" t="s">
        <v>487</v>
      </c>
      <c r="G113" s="54" t="s">
        <v>494</v>
      </c>
      <c r="H113" s="55">
        <v>16.100000000000001</v>
      </c>
      <c r="I113" s="55">
        <v>15.1</v>
      </c>
      <c r="J113" s="55">
        <v>14.6</v>
      </c>
      <c r="K113" s="54"/>
      <c r="L113" s="56" t="b">
        <v>0</v>
      </c>
      <c r="M113" s="56" t="b">
        <v>0</v>
      </c>
      <c r="N113" s="54">
        <v>1</v>
      </c>
      <c r="O113" s="54" t="s">
        <v>228</v>
      </c>
      <c r="P113" s="54">
        <v>24</v>
      </c>
      <c r="Q113" s="54">
        <v>36</v>
      </c>
      <c r="R113" s="54">
        <v>395</v>
      </c>
      <c r="S113" s="54" t="s">
        <v>497</v>
      </c>
      <c r="T113" s="54" t="s">
        <v>495</v>
      </c>
      <c r="U113" s="54" t="s">
        <v>490</v>
      </c>
      <c r="V113" s="54" t="s">
        <v>491</v>
      </c>
      <c r="W113" s="54" t="b">
        <v>0</v>
      </c>
      <c r="X113" s="54"/>
      <c r="Y113" s="57" t="s">
        <v>1665</v>
      </c>
      <c r="Z113" s="54" t="s">
        <v>492</v>
      </c>
      <c r="AA113" s="54"/>
      <c r="AB113" s="54" t="s">
        <v>493</v>
      </c>
      <c r="AC113" s="56" t="b">
        <v>1</v>
      </c>
      <c r="AD113" s="56" t="b">
        <v>0</v>
      </c>
      <c r="AE113" s="54" t="s">
        <v>303</v>
      </c>
      <c r="AF113" s="58">
        <v>46174</v>
      </c>
      <c r="AG113" s="62" t="s">
        <v>293</v>
      </c>
      <c r="AH113" s="54">
        <v>0</v>
      </c>
      <c r="AI113" s="54"/>
      <c r="AJ113" s="54"/>
      <c r="AK113" s="54"/>
      <c r="AL113" s="54"/>
      <c r="AM113" s="54">
        <v>4.95</v>
      </c>
      <c r="AN113" s="54"/>
      <c r="AO113" s="54"/>
      <c r="AP113" s="54"/>
      <c r="AQ113" s="54"/>
      <c r="AR113" s="54"/>
      <c r="AS113" s="54"/>
      <c r="AT113" s="54"/>
      <c r="AU113" s="54"/>
      <c r="AV113" s="54"/>
      <c r="AW113" s="54"/>
      <c r="AX113" s="59"/>
      <c r="AY113" s="59"/>
      <c r="AZ113" s="59"/>
      <c r="BA113" s="59"/>
      <c r="BB113" s="59">
        <v>8.9580999999999994E-2</v>
      </c>
      <c r="BC113" s="60">
        <v>4.9000000000000004</v>
      </c>
      <c r="BD113" s="61">
        <v>5.1461E-2</v>
      </c>
      <c r="BE113" s="62" t="s">
        <v>293</v>
      </c>
      <c r="BF113" s="35">
        <f t="shared" si="0"/>
        <v>4.9000000000000004</v>
      </c>
      <c r="BG113" s="35">
        <f t="shared" si="0"/>
        <v>5.1461E-2</v>
      </c>
      <c r="BH113" s="35" t="str">
        <f t="shared" si="158"/>
        <v>Med</v>
      </c>
      <c r="BI113" s="110">
        <f t="shared" si="159"/>
        <v>0</v>
      </c>
      <c r="BJ113" s="83">
        <f>VLOOKUP($F113,REP_Info!$D$6:$H$250,5,FALSE)</f>
        <v>1.0129999999999999</v>
      </c>
      <c r="BK113" s="30">
        <f t="shared" si="1"/>
        <v>16.074199999999998</v>
      </c>
      <c r="BL113" s="30">
        <f t="shared" si="1"/>
        <v>15.089199999999998</v>
      </c>
      <c r="BM113" s="30">
        <f t="shared" si="1"/>
        <v>14.596699999999998</v>
      </c>
      <c r="BN113" s="29">
        <f t="shared" si="1"/>
        <v>14.432533333333334</v>
      </c>
      <c r="BO113" s="85" t="str">
        <f t="shared" si="2"/>
        <v>$$$</v>
      </c>
      <c r="BP113" s="88" t="str">
        <f t="shared" si="160"/>
        <v>$$$</v>
      </c>
      <c r="BQ113" s="88" t="str">
        <f t="shared" si="4"/>
        <v>$$$</v>
      </c>
      <c r="BR113" s="88" t="str">
        <f t="shared" si="5"/>
        <v>$$$</v>
      </c>
      <c r="BS113" s="29" t="e">
        <f t="shared" si="169"/>
        <v>#N/A</v>
      </c>
      <c r="BT113" s="29" t="e">
        <f t="shared" si="169"/>
        <v>#N/A</v>
      </c>
      <c r="BU113" s="29" t="e">
        <f t="shared" si="169"/>
        <v>#N/A</v>
      </c>
      <c r="BV113" s="29" t="e">
        <f t="shared" si="169"/>
        <v>#N/A</v>
      </c>
      <c r="BW113" s="29" t="e">
        <f t="shared" si="169"/>
        <v>#N/A</v>
      </c>
      <c r="BX113" s="29" t="e">
        <f t="shared" si="169"/>
        <v>#N/A</v>
      </c>
      <c r="BY113" s="29" t="e">
        <f t="shared" si="169"/>
        <v>#N/A</v>
      </c>
      <c r="BZ113" s="29" t="e">
        <f t="shared" si="169"/>
        <v>#N/A</v>
      </c>
      <c r="CA113" s="29" t="e">
        <f t="shared" si="169"/>
        <v>#N/A</v>
      </c>
      <c r="CB113" s="29" t="e">
        <f t="shared" si="169"/>
        <v>#N/A</v>
      </c>
      <c r="CC113" s="29" t="e">
        <f t="shared" si="169"/>
        <v>#N/A</v>
      </c>
      <c r="CD113" s="29" t="e">
        <f t="shared" si="169"/>
        <v>#N/A</v>
      </c>
      <c r="CE113" s="6" t="str">
        <f t="shared" si="167"/>
        <v/>
      </c>
      <c r="CF113" s="27" t="e">
        <f>IF(AND(CI113,NOT(AD113)),LOOKUP(CF$5,{0,750,1500},H113:J113),"")</f>
        <v>#N/A</v>
      </c>
      <c r="CG113" s="6" t="str">
        <f t="shared" si="168"/>
        <v/>
      </c>
      <c r="CH113" t="e">
        <f t="shared" si="161"/>
        <v>#N/A</v>
      </c>
      <c r="CI113" t="e">
        <f t="shared" si="162"/>
        <v>#N/A</v>
      </c>
      <c r="CJ113" s="6" t="e">
        <f t="shared" si="11"/>
        <v>#N/A</v>
      </c>
      <c r="CK113" s="6">
        <f t="shared" si="12"/>
        <v>1</v>
      </c>
      <c r="CL113" s="6">
        <f t="shared" si="26"/>
        <v>1</v>
      </c>
      <c r="CM113" s="6">
        <f t="shared" si="13"/>
        <v>1</v>
      </c>
      <c r="CN113" s="6">
        <f t="shared" si="14"/>
        <v>1</v>
      </c>
      <c r="CO113" s="6">
        <f t="shared" si="15"/>
        <v>0</v>
      </c>
      <c r="CP113" s="6">
        <f t="shared" si="16"/>
        <v>1</v>
      </c>
      <c r="CQ113" s="6">
        <f t="shared" si="163"/>
        <v>1</v>
      </c>
      <c r="CR113" s="81" t="str">
        <f t="shared" si="17"/>
        <v/>
      </c>
      <c r="CS113">
        <f t="shared" si="164"/>
        <v>0</v>
      </c>
      <c r="CT113">
        <f t="shared" si="19"/>
        <v>395</v>
      </c>
      <c r="CU113" t="str">
        <f t="shared" si="29"/>
        <v/>
      </c>
      <c r="CV113" s="81">
        <f t="shared" si="165"/>
        <v>395</v>
      </c>
      <c r="CW113" s="81">
        <f>(CV113/25)^1.5*(Calculator!$BU$4/10000)*CW$5</f>
        <v>162.16595996535787</v>
      </c>
      <c r="CX113" t="str">
        <f t="shared" si="166"/>
        <v>$395</v>
      </c>
    </row>
    <row r="114" spans="2:102" x14ac:dyDescent="0.25">
      <c r="B114" s="115" t="s">
        <v>233</v>
      </c>
      <c r="C114" s="13">
        <v>46237.767361111109</v>
      </c>
      <c r="D114">
        <v>26884</v>
      </c>
      <c r="E114" s="54" t="s">
        <v>237</v>
      </c>
      <c r="F114" s="54" t="s">
        <v>487</v>
      </c>
      <c r="G114" s="54" t="s">
        <v>494</v>
      </c>
      <c r="H114" s="55">
        <v>16.900000000000002</v>
      </c>
      <c r="I114" s="55">
        <v>16</v>
      </c>
      <c r="J114" s="55">
        <v>15.6</v>
      </c>
      <c r="K114" s="54"/>
      <c r="L114" s="56" t="b">
        <v>0</v>
      </c>
      <c r="M114" s="56" t="b">
        <v>0</v>
      </c>
      <c r="N114" s="54">
        <v>1</v>
      </c>
      <c r="O114" s="54" t="s">
        <v>228</v>
      </c>
      <c r="P114" s="54">
        <v>24</v>
      </c>
      <c r="Q114" s="54">
        <v>36</v>
      </c>
      <c r="R114" s="54">
        <v>395</v>
      </c>
      <c r="S114" s="54" t="s">
        <v>497</v>
      </c>
      <c r="T114" s="54" t="s">
        <v>495</v>
      </c>
      <c r="U114" s="54" t="s">
        <v>490</v>
      </c>
      <c r="V114" s="54" t="s">
        <v>491</v>
      </c>
      <c r="W114" s="54" t="b">
        <v>0</v>
      </c>
      <c r="X114" s="54"/>
      <c r="Y114" s="57" t="s">
        <v>2255</v>
      </c>
      <c r="Z114" s="54" t="s">
        <v>2254</v>
      </c>
      <c r="AA114" s="54"/>
      <c r="AB114" s="54" t="s">
        <v>493</v>
      </c>
      <c r="AC114" s="56" t="b">
        <v>1</v>
      </c>
      <c r="AD114" s="56" t="b">
        <v>0</v>
      </c>
      <c r="AE114" s="54" t="s">
        <v>303</v>
      </c>
      <c r="AF114" s="58">
        <v>46235</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9.0726000000000001E-2</v>
      </c>
      <c r="BC114" s="60">
        <v>4.0599999999999996</v>
      </c>
      <c r="BD114" s="61">
        <v>6.0295000000000001E-2</v>
      </c>
      <c r="BE114" s="62" t="s">
        <v>293</v>
      </c>
      <c r="BF114" s="35">
        <f t="shared" si="0"/>
        <v>4.0600000000000005</v>
      </c>
      <c r="BG114" s="35">
        <f t="shared" si="0"/>
        <v>6.0295000000000001E-2</v>
      </c>
      <c r="BH114" s="35" t="str">
        <f t="shared" si="158"/>
        <v>Med</v>
      </c>
      <c r="BI114" s="110">
        <f t="shared" si="159"/>
        <v>0</v>
      </c>
      <c r="BJ114" s="83">
        <f>VLOOKUP($F114,REP_Info!$D$6:$H$250,5,FALSE)</f>
        <v>1.0129999999999999</v>
      </c>
      <c r="BK114" s="30">
        <f t="shared" si="1"/>
        <v>16.9041</v>
      </c>
      <c r="BL114" s="30">
        <f t="shared" si="1"/>
        <v>16.0031</v>
      </c>
      <c r="BM114" s="30">
        <f t="shared" si="1"/>
        <v>15.5526</v>
      </c>
      <c r="BN114" s="29">
        <f t="shared" si="1"/>
        <v>15.402433333333333</v>
      </c>
      <c r="BO114" s="85" t="str">
        <f t="shared" si="2"/>
        <v>$$$</v>
      </c>
      <c r="BP114" s="88" t="str">
        <f t="shared" si="160"/>
        <v>$$$</v>
      </c>
      <c r="BQ114" s="88" t="str">
        <f t="shared" si="4"/>
        <v>$$$</v>
      </c>
      <c r="BR114" s="88" t="str">
        <f t="shared" si="5"/>
        <v>$$$</v>
      </c>
      <c r="BS114" s="29" t="e">
        <f t="shared" si="169"/>
        <v>#N/A</v>
      </c>
      <c r="BT114" s="29" t="e">
        <f t="shared" si="169"/>
        <v>#N/A</v>
      </c>
      <c r="BU114" s="29" t="e">
        <f t="shared" si="169"/>
        <v>#N/A</v>
      </c>
      <c r="BV114" s="29" t="e">
        <f t="shared" si="169"/>
        <v>#N/A</v>
      </c>
      <c r="BW114" s="29" t="e">
        <f t="shared" si="169"/>
        <v>#N/A</v>
      </c>
      <c r="BX114" s="29" t="e">
        <f t="shared" si="169"/>
        <v>#N/A</v>
      </c>
      <c r="BY114" s="29" t="e">
        <f t="shared" si="169"/>
        <v>#N/A</v>
      </c>
      <c r="BZ114" s="29" t="e">
        <f t="shared" si="169"/>
        <v>#N/A</v>
      </c>
      <c r="CA114" s="29" t="e">
        <f t="shared" si="169"/>
        <v>#N/A</v>
      </c>
      <c r="CB114" s="29" t="e">
        <f t="shared" si="169"/>
        <v>#N/A</v>
      </c>
      <c r="CC114" s="29" t="e">
        <f t="shared" si="169"/>
        <v>#N/A</v>
      </c>
      <c r="CD114" s="29" t="e">
        <f t="shared" si="169"/>
        <v>#N/A</v>
      </c>
      <c r="CE114" s="6" t="str">
        <f t="shared" si="167"/>
        <v/>
      </c>
      <c r="CF114" s="27" t="e">
        <f>IF(AND(CI114,NOT(AD114)),LOOKUP(CF$5,{0,750,1500},H114:J114),"")</f>
        <v>#N/A</v>
      </c>
      <c r="CG114" s="6" t="str">
        <f t="shared" si="168"/>
        <v/>
      </c>
      <c r="CH114" t="e">
        <f t="shared" si="161"/>
        <v>#N/A</v>
      </c>
      <c r="CI114" t="e">
        <f t="shared" si="162"/>
        <v>#N/A</v>
      </c>
      <c r="CJ114" s="6" t="e">
        <f t="shared" si="11"/>
        <v>#N/A</v>
      </c>
      <c r="CK114" s="6">
        <f t="shared" si="12"/>
        <v>1</v>
      </c>
      <c r="CL114" s="6">
        <f t="shared" si="26"/>
        <v>1</v>
      </c>
      <c r="CM114" s="6">
        <f t="shared" si="13"/>
        <v>1</v>
      </c>
      <c r="CN114" s="6">
        <f t="shared" si="14"/>
        <v>1</v>
      </c>
      <c r="CO114" s="6">
        <f t="shared" si="15"/>
        <v>0</v>
      </c>
      <c r="CP114" s="6">
        <f t="shared" si="16"/>
        <v>1</v>
      </c>
      <c r="CQ114" s="6">
        <f t="shared" si="163"/>
        <v>1</v>
      </c>
      <c r="CR114" s="81" t="str">
        <f t="shared" si="17"/>
        <v/>
      </c>
      <c r="CS114">
        <f t="shared" si="164"/>
        <v>0</v>
      </c>
      <c r="CT114">
        <f t="shared" si="19"/>
        <v>395</v>
      </c>
      <c r="CU114" t="str">
        <f t="shared" si="29"/>
        <v/>
      </c>
      <c r="CV114" s="81">
        <f t="shared" si="165"/>
        <v>395</v>
      </c>
      <c r="CW114" s="81">
        <f>(CV114/25)^1.5*(Calculator!$BU$4/10000)*CW$5</f>
        <v>162.16595996535787</v>
      </c>
      <c r="CX114" t="str">
        <f t="shared" si="166"/>
        <v>$395</v>
      </c>
    </row>
    <row r="115" spans="2:102" x14ac:dyDescent="0.25">
      <c r="B115" s="115" t="s">
        <v>233</v>
      </c>
      <c r="C115" s="13">
        <v>46174.569444444445</v>
      </c>
      <c r="D115">
        <v>27785</v>
      </c>
      <c r="E115" s="54" t="s">
        <v>235</v>
      </c>
      <c r="F115" s="54" t="s">
        <v>487</v>
      </c>
      <c r="G115" s="54" t="s">
        <v>496</v>
      </c>
      <c r="H115" s="55">
        <v>15.6</v>
      </c>
      <c r="I115" s="55">
        <v>14.6</v>
      </c>
      <c r="J115" s="55">
        <v>14.099999999999998</v>
      </c>
      <c r="K115" s="54"/>
      <c r="L115" s="56" t="b">
        <v>0</v>
      </c>
      <c r="M115" s="56" t="b">
        <v>0</v>
      </c>
      <c r="N115" s="54">
        <v>1</v>
      </c>
      <c r="O115" s="54" t="s">
        <v>228</v>
      </c>
      <c r="P115" s="54">
        <v>24</v>
      </c>
      <c r="Q115" s="54">
        <v>12</v>
      </c>
      <c r="R115" s="54">
        <v>150</v>
      </c>
      <c r="S115" s="54" t="s">
        <v>497</v>
      </c>
      <c r="T115" s="54" t="s">
        <v>498</v>
      </c>
      <c r="U115" s="54" t="s">
        <v>490</v>
      </c>
      <c r="V115" s="54" t="s">
        <v>491</v>
      </c>
      <c r="W115" s="54" t="b">
        <v>0</v>
      </c>
      <c r="X115" s="54"/>
      <c r="Y115" s="57" t="s">
        <v>1666</v>
      </c>
      <c r="Z115" s="54" t="s">
        <v>492</v>
      </c>
      <c r="AA115" s="54"/>
      <c r="AB115" s="54" t="s">
        <v>493</v>
      </c>
      <c r="AC115" s="56" t="b">
        <v>1</v>
      </c>
      <c r="AD115" s="56" t="b">
        <v>0</v>
      </c>
      <c r="AE115" s="54" t="s">
        <v>303</v>
      </c>
      <c r="AF115" s="58">
        <v>46174</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8.4581000000000003E-2</v>
      </c>
      <c r="BC115" s="60">
        <v>4.9000000000000004</v>
      </c>
      <c r="BD115" s="61">
        <v>5.1461E-2</v>
      </c>
      <c r="BE115" s="62" t="s">
        <v>293</v>
      </c>
      <c r="BF115" s="35">
        <f t="shared" si="0"/>
        <v>4.9000000000000004</v>
      </c>
      <c r="BG115" s="35">
        <f t="shared" si="0"/>
        <v>5.1461E-2</v>
      </c>
      <c r="BH115" s="35" t="str">
        <f t="shared" si="158"/>
        <v>Med</v>
      </c>
      <c r="BI115" s="110">
        <f t="shared" si="159"/>
        <v>0</v>
      </c>
      <c r="BJ115" s="83">
        <f>VLOOKUP($F115,REP_Info!$D$6:$H$250,5,FALSE)</f>
        <v>1.0129999999999999</v>
      </c>
      <c r="BK115" s="30">
        <f t="shared" si="1"/>
        <v>15.574200000000003</v>
      </c>
      <c r="BL115" s="30">
        <f t="shared" si="1"/>
        <v>14.589199999999998</v>
      </c>
      <c r="BM115" s="30">
        <f t="shared" si="1"/>
        <v>14.096699999999998</v>
      </c>
      <c r="BN115" s="29">
        <f t="shared" si="1"/>
        <v>13.932533333333334</v>
      </c>
      <c r="BO115" s="85" t="str">
        <f t="shared" si="2"/>
        <v>$$$</v>
      </c>
      <c r="BP115" s="88" t="str">
        <f t="shared" si="160"/>
        <v>$$$</v>
      </c>
      <c r="BQ115" s="88" t="str">
        <f t="shared" si="4"/>
        <v>$$$</v>
      </c>
      <c r="BR115" s="88" t="str">
        <f t="shared" si="5"/>
        <v>$$$</v>
      </c>
      <c r="BS115" s="29" t="e">
        <f t="shared" si="169"/>
        <v>#N/A</v>
      </c>
      <c r="BT115" s="29" t="e">
        <f t="shared" si="169"/>
        <v>#N/A</v>
      </c>
      <c r="BU115" s="29" t="e">
        <f t="shared" si="169"/>
        <v>#N/A</v>
      </c>
      <c r="BV115" s="29" t="e">
        <f t="shared" si="169"/>
        <v>#N/A</v>
      </c>
      <c r="BW115" s="29" t="e">
        <f t="shared" si="169"/>
        <v>#N/A</v>
      </c>
      <c r="BX115" s="29" t="e">
        <f t="shared" si="169"/>
        <v>#N/A</v>
      </c>
      <c r="BY115" s="29" t="e">
        <f t="shared" si="169"/>
        <v>#N/A</v>
      </c>
      <c r="BZ115" s="29" t="e">
        <f t="shared" si="169"/>
        <v>#N/A</v>
      </c>
      <c r="CA115" s="29" t="e">
        <f t="shared" si="169"/>
        <v>#N/A</v>
      </c>
      <c r="CB115" s="29" t="e">
        <f t="shared" si="169"/>
        <v>#N/A</v>
      </c>
      <c r="CC115" s="29" t="e">
        <f t="shared" si="169"/>
        <v>#N/A</v>
      </c>
      <c r="CD115" s="29" t="e">
        <f t="shared" si="169"/>
        <v>#N/A</v>
      </c>
      <c r="CE115" s="6" t="str">
        <f t="shared" si="167"/>
        <v/>
      </c>
      <c r="CF115" s="27" t="e">
        <f>IF(AND(CI115,NOT(AD115)),LOOKUP(CF$5,{0,750,1500},H115:J115),"")</f>
        <v>#N/A</v>
      </c>
      <c r="CG115" s="6" t="str">
        <f t="shared" si="168"/>
        <v/>
      </c>
      <c r="CH115" t="e">
        <f t="shared" si="161"/>
        <v>#N/A</v>
      </c>
      <c r="CI115" t="e">
        <f t="shared" si="162"/>
        <v>#N/A</v>
      </c>
      <c r="CJ115" s="6" t="e">
        <f t="shared" si="11"/>
        <v>#N/A</v>
      </c>
      <c r="CK115" s="6">
        <f t="shared" si="12"/>
        <v>1</v>
      </c>
      <c r="CL115" s="6">
        <f t="shared" si="26"/>
        <v>1</v>
      </c>
      <c r="CM115" s="6">
        <f t="shared" si="13"/>
        <v>1</v>
      </c>
      <c r="CN115" s="6">
        <f t="shared" si="14"/>
        <v>1</v>
      </c>
      <c r="CO115" s="6">
        <f t="shared" si="15"/>
        <v>1</v>
      </c>
      <c r="CP115" s="6">
        <f t="shared" si="16"/>
        <v>1</v>
      </c>
      <c r="CQ115" s="6">
        <f t="shared" si="163"/>
        <v>1</v>
      </c>
      <c r="CR115" s="81" t="str">
        <f t="shared" si="17"/>
        <v/>
      </c>
      <c r="CS115">
        <f t="shared" si="164"/>
        <v>0</v>
      </c>
      <c r="CT115">
        <f t="shared" si="19"/>
        <v>150</v>
      </c>
      <c r="CU115" t="str">
        <f t="shared" si="29"/>
        <v/>
      </c>
      <c r="CV115" s="81">
        <f t="shared" si="165"/>
        <v>150</v>
      </c>
      <c r="CW115" s="81">
        <f>(CV115/25)^1.5*(Calculator!$BU$4/10000)*CW$5</f>
        <v>37.949052970673385</v>
      </c>
      <c r="CX115" t="str">
        <f t="shared" si="166"/>
        <v>$150</v>
      </c>
    </row>
    <row r="116" spans="2:102" x14ac:dyDescent="0.25">
      <c r="B116" s="115" t="s">
        <v>233</v>
      </c>
      <c r="C116" s="13">
        <v>46237.767361111109</v>
      </c>
      <c r="D116">
        <v>27787</v>
      </c>
      <c r="E116" s="54" t="s">
        <v>237</v>
      </c>
      <c r="F116" s="54" t="s">
        <v>487</v>
      </c>
      <c r="G116" s="54" t="s">
        <v>496</v>
      </c>
      <c r="H116" s="55">
        <v>16.2</v>
      </c>
      <c r="I116" s="55">
        <v>15.299999999999999</v>
      </c>
      <c r="J116" s="55">
        <v>14.899999999999999</v>
      </c>
      <c r="K116" s="54"/>
      <c r="L116" s="56" t="b">
        <v>0</v>
      </c>
      <c r="M116" s="56" t="b">
        <v>0</v>
      </c>
      <c r="N116" s="54">
        <v>1</v>
      </c>
      <c r="O116" s="54" t="s">
        <v>228</v>
      </c>
      <c r="P116" s="54">
        <v>24</v>
      </c>
      <c r="Q116" s="54">
        <v>12</v>
      </c>
      <c r="R116" s="54">
        <v>150</v>
      </c>
      <c r="S116" s="54" t="s">
        <v>497</v>
      </c>
      <c r="T116" s="54" t="s">
        <v>498</v>
      </c>
      <c r="U116" s="54" t="s">
        <v>490</v>
      </c>
      <c r="V116" s="54" t="s">
        <v>491</v>
      </c>
      <c r="W116" s="54" t="b">
        <v>0</v>
      </c>
      <c r="X116" s="54"/>
      <c r="Y116" s="57" t="s">
        <v>2256</v>
      </c>
      <c r="Z116" s="54" t="s">
        <v>2254</v>
      </c>
      <c r="AA116" s="54"/>
      <c r="AB116" s="54" t="s">
        <v>493</v>
      </c>
      <c r="AC116" s="56" t="b">
        <v>1</v>
      </c>
      <c r="AD116" s="56" t="b">
        <v>0</v>
      </c>
      <c r="AE116" s="54" t="s">
        <v>303</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8.3725999999999995E-2</v>
      </c>
      <c r="BC116" s="60">
        <v>4.0599999999999996</v>
      </c>
      <c r="BD116" s="61">
        <v>6.0295000000000001E-2</v>
      </c>
      <c r="BE116" s="62" t="s">
        <v>293</v>
      </c>
      <c r="BF116" s="35">
        <f t="shared" si="0"/>
        <v>4.0600000000000005</v>
      </c>
      <c r="BG116" s="35">
        <f t="shared" si="0"/>
        <v>6.0295000000000001E-2</v>
      </c>
      <c r="BH116" s="35" t="str">
        <f t="shared" si="158"/>
        <v>Med</v>
      </c>
      <c r="BI116" s="110">
        <f t="shared" si="159"/>
        <v>0</v>
      </c>
      <c r="BJ116" s="83">
        <f>VLOOKUP($F116,REP_Info!$D$6:$H$250,5,FALSE)</f>
        <v>1.0129999999999999</v>
      </c>
      <c r="BK116" s="30">
        <f t="shared" si="1"/>
        <v>16.2041</v>
      </c>
      <c r="BL116" s="30">
        <f t="shared" si="1"/>
        <v>15.303100000000001</v>
      </c>
      <c r="BM116" s="30">
        <f t="shared" si="1"/>
        <v>14.852600000000001</v>
      </c>
      <c r="BN116" s="29">
        <f t="shared" si="1"/>
        <v>14.702433333333332</v>
      </c>
      <c r="BO116" s="85" t="str">
        <f t="shared" si="2"/>
        <v>$$$</v>
      </c>
      <c r="BP116" s="88" t="str">
        <f t="shared" si="160"/>
        <v>$$$</v>
      </c>
      <c r="BQ116" s="88" t="str">
        <f t="shared" si="4"/>
        <v>$$$</v>
      </c>
      <c r="BR116" s="88" t="str">
        <f t="shared" si="5"/>
        <v>$$$</v>
      </c>
      <c r="BS116" s="29" t="e">
        <f t="shared" si="169"/>
        <v>#N/A</v>
      </c>
      <c r="BT116" s="29" t="e">
        <f t="shared" si="169"/>
        <v>#N/A</v>
      </c>
      <c r="BU116" s="29" t="e">
        <f t="shared" si="169"/>
        <v>#N/A</v>
      </c>
      <c r="BV116" s="29" t="e">
        <f t="shared" si="169"/>
        <v>#N/A</v>
      </c>
      <c r="BW116" s="29" t="e">
        <f t="shared" si="169"/>
        <v>#N/A</v>
      </c>
      <c r="BX116" s="29" t="e">
        <f t="shared" si="169"/>
        <v>#N/A</v>
      </c>
      <c r="BY116" s="29" t="e">
        <f t="shared" si="169"/>
        <v>#N/A</v>
      </c>
      <c r="BZ116" s="29" t="e">
        <f t="shared" si="169"/>
        <v>#N/A</v>
      </c>
      <c r="CA116" s="29" t="e">
        <f t="shared" si="169"/>
        <v>#N/A</v>
      </c>
      <c r="CB116" s="29" t="e">
        <f t="shared" si="169"/>
        <v>#N/A</v>
      </c>
      <c r="CC116" s="29" t="e">
        <f t="shared" si="169"/>
        <v>#N/A</v>
      </c>
      <c r="CD116" s="29" t="e">
        <f t="shared" si="169"/>
        <v>#N/A</v>
      </c>
      <c r="CE116" s="6" t="str">
        <f t="shared" si="167"/>
        <v/>
      </c>
      <c r="CF116" s="27" t="e">
        <f>IF(AND(CI116,NOT(AD116)),LOOKUP(CF$5,{0,750,1500},H116:J116),"")</f>
        <v>#N/A</v>
      </c>
      <c r="CG116" s="6" t="str">
        <f t="shared" si="168"/>
        <v/>
      </c>
      <c r="CH116" t="e">
        <f t="shared" si="161"/>
        <v>#N/A</v>
      </c>
      <c r="CI116" t="e">
        <f t="shared" si="162"/>
        <v>#N/A</v>
      </c>
      <c r="CJ116" s="6" t="e">
        <f t="shared" si="11"/>
        <v>#N/A</v>
      </c>
      <c r="CK116" s="6">
        <f t="shared" si="12"/>
        <v>1</v>
      </c>
      <c r="CL116" s="6">
        <f t="shared" si="26"/>
        <v>1</v>
      </c>
      <c r="CM116" s="6">
        <f t="shared" si="13"/>
        <v>1</v>
      </c>
      <c r="CN116" s="6">
        <f t="shared" si="14"/>
        <v>1</v>
      </c>
      <c r="CO116" s="6">
        <f t="shared" si="15"/>
        <v>1</v>
      </c>
      <c r="CP116" s="6">
        <f t="shared" si="16"/>
        <v>1</v>
      </c>
      <c r="CQ116" s="6">
        <f t="shared" si="163"/>
        <v>1</v>
      </c>
      <c r="CR116" s="81" t="str">
        <f t="shared" si="17"/>
        <v/>
      </c>
      <c r="CS116">
        <f t="shared" si="164"/>
        <v>0</v>
      </c>
      <c r="CT116">
        <f t="shared" si="19"/>
        <v>150</v>
      </c>
      <c r="CU116" t="str">
        <f t="shared" si="29"/>
        <v/>
      </c>
      <c r="CV116" s="81">
        <f t="shared" si="165"/>
        <v>150</v>
      </c>
      <c r="CW116" s="81">
        <f>(CV116/25)^1.5*(Calculator!$BU$4/10000)*CW$5</f>
        <v>37.949052970673385</v>
      </c>
      <c r="CX116" t="str">
        <f t="shared" si="166"/>
        <v>$150</v>
      </c>
    </row>
    <row r="117" spans="2:102" x14ac:dyDescent="0.25">
      <c r="B117" s="115" t="s">
        <v>233</v>
      </c>
      <c r="C117" s="13">
        <v>46237.767361111109</v>
      </c>
      <c r="D117">
        <v>16205</v>
      </c>
      <c r="E117" s="54" t="s">
        <v>235</v>
      </c>
      <c r="F117" s="54" t="s">
        <v>499</v>
      </c>
      <c r="G117" s="54" t="s">
        <v>2257</v>
      </c>
      <c r="H117" s="55">
        <v>12.7</v>
      </c>
      <c r="I117" s="55">
        <v>12.2</v>
      </c>
      <c r="J117" s="55">
        <v>11.899999999999999</v>
      </c>
      <c r="K117" s="54"/>
      <c r="L117" s="56" t="b">
        <v>0</v>
      </c>
      <c r="M117" s="56" t="b">
        <v>0</v>
      </c>
      <c r="N117" s="54">
        <v>1</v>
      </c>
      <c r="O117" s="54" t="s">
        <v>228</v>
      </c>
      <c r="P117" s="54">
        <v>22</v>
      </c>
      <c r="Q117" s="54">
        <v>12</v>
      </c>
      <c r="R117" s="54">
        <v>150</v>
      </c>
      <c r="S117" s="54" t="s">
        <v>500</v>
      </c>
      <c r="T117" s="54" t="s">
        <v>2258</v>
      </c>
      <c r="U117" s="54" t="s">
        <v>501</v>
      </c>
      <c r="V117" s="54" t="s">
        <v>502</v>
      </c>
      <c r="W117" s="54" t="b">
        <v>0</v>
      </c>
      <c r="X117" s="54"/>
      <c r="Y117" s="57" t="s">
        <v>2259</v>
      </c>
      <c r="Z117" s="54" t="s">
        <v>503</v>
      </c>
      <c r="AA117" s="54"/>
      <c r="AB117" s="54" t="s">
        <v>504</v>
      </c>
      <c r="AC117" s="56" t="b">
        <v>1</v>
      </c>
      <c r="AD117" s="56" t="b">
        <v>0</v>
      </c>
      <c r="AE117" s="54" t="s">
        <v>303</v>
      </c>
      <c r="AF117" s="58">
        <v>46235</v>
      </c>
      <c r="AG117" s="62" t="s">
        <v>293</v>
      </c>
      <c r="AH117" s="54">
        <v>0</v>
      </c>
      <c r="AI117" s="54"/>
      <c r="AJ117" s="54"/>
      <c r="AK117" s="54"/>
      <c r="AL117" s="54"/>
      <c r="AM117" s="54">
        <v>0</v>
      </c>
      <c r="AN117" s="54"/>
      <c r="AO117" s="54"/>
      <c r="AP117" s="54"/>
      <c r="AQ117" s="54"/>
      <c r="AR117" s="54"/>
      <c r="AS117" s="54"/>
      <c r="AT117" s="54"/>
      <c r="AU117" s="54"/>
      <c r="AV117" s="54"/>
      <c r="AW117" s="54"/>
      <c r="AX117" s="59"/>
      <c r="AY117" s="59"/>
      <c r="AZ117" s="59"/>
      <c r="BA117" s="59"/>
      <c r="BB117" s="59">
        <v>6.5587999999999994E-2</v>
      </c>
      <c r="BC117" s="60"/>
      <c r="BD117" s="61"/>
      <c r="BE117" s="62" t="s">
        <v>293</v>
      </c>
      <c r="BF117" s="35">
        <f t="shared" si="0"/>
        <v>4.9000000000000004</v>
      </c>
      <c r="BG117" s="35">
        <f t="shared" si="0"/>
        <v>5.1461E-2</v>
      </c>
      <c r="BH117" s="35" t="str">
        <f t="shared" si="158"/>
        <v>Low</v>
      </c>
      <c r="BI117" s="110">
        <f t="shared" si="159"/>
        <v>0</v>
      </c>
      <c r="BJ117" s="83">
        <f>VLOOKUP($F117,REP_Info!$D$6:$H$250,5,FALSE)</f>
        <v>1.8160000000000001</v>
      </c>
      <c r="BK117" s="30">
        <f t="shared" si="1"/>
        <v>12.684899999999999</v>
      </c>
      <c r="BL117" s="30">
        <f t="shared" si="1"/>
        <v>12.194900000000001</v>
      </c>
      <c r="BM117" s="30">
        <f t="shared" si="1"/>
        <v>11.9499</v>
      </c>
      <c r="BN117" s="29">
        <f t="shared" si="1"/>
        <v>11.868233333333334</v>
      </c>
      <c r="BO117" s="85" t="str">
        <f t="shared" si="2"/>
        <v>$$$</v>
      </c>
      <c r="BP117" s="88" t="str">
        <f t="shared" si="160"/>
        <v>$$$</v>
      </c>
      <c r="BQ117" s="88" t="str">
        <f t="shared" si="4"/>
        <v>$$$</v>
      </c>
      <c r="BR117" s="88" t="str">
        <f t="shared" si="5"/>
        <v>$$$</v>
      </c>
      <c r="BS117" s="29" t="e">
        <f t="shared" si="169"/>
        <v>#N/A</v>
      </c>
      <c r="BT117" s="29" t="e">
        <f t="shared" si="169"/>
        <v>#N/A</v>
      </c>
      <c r="BU117" s="29" t="e">
        <f t="shared" si="169"/>
        <v>#N/A</v>
      </c>
      <c r="BV117" s="29" t="e">
        <f t="shared" si="169"/>
        <v>#N/A</v>
      </c>
      <c r="BW117" s="29" t="e">
        <f t="shared" si="169"/>
        <v>#N/A</v>
      </c>
      <c r="BX117" s="29" t="e">
        <f t="shared" si="169"/>
        <v>#N/A</v>
      </c>
      <c r="BY117" s="29" t="e">
        <f t="shared" si="169"/>
        <v>#N/A</v>
      </c>
      <c r="BZ117" s="29" t="e">
        <f t="shared" si="169"/>
        <v>#N/A</v>
      </c>
      <c r="CA117" s="29" t="e">
        <f t="shared" si="169"/>
        <v>#N/A</v>
      </c>
      <c r="CB117" s="29" t="e">
        <f t="shared" si="169"/>
        <v>#N/A</v>
      </c>
      <c r="CC117" s="29" t="e">
        <f t="shared" si="169"/>
        <v>#N/A</v>
      </c>
      <c r="CD117" s="29" t="e">
        <f t="shared" si="169"/>
        <v>#N/A</v>
      </c>
      <c r="CE117" s="6" t="str">
        <f t="shared" si="167"/>
        <v/>
      </c>
      <c r="CF117" s="27" t="e">
        <f>IF(AND(CI117,NOT(AD117)),LOOKUP(CF$5,{0,750,1500},H117:J117),"")</f>
        <v>#N/A</v>
      </c>
      <c r="CG117" s="6" t="str">
        <f t="shared" si="168"/>
        <v/>
      </c>
      <c r="CH117" t="e">
        <f t="shared" si="161"/>
        <v>#N/A</v>
      </c>
      <c r="CI117" t="e">
        <f t="shared" si="162"/>
        <v>#N/A</v>
      </c>
      <c r="CJ117" s="6" t="e">
        <f t="shared" si="11"/>
        <v>#N/A</v>
      </c>
      <c r="CK117" s="6">
        <f t="shared" si="12"/>
        <v>1</v>
      </c>
      <c r="CL117" s="6">
        <f t="shared" si="26"/>
        <v>1</v>
      </c>
      <c r="CM117" s="6">
        <f t="shared" si="13"/>
        <v>1</v>
      </c>
      <c r="CN117" s="6">
        <f t="shared" si="14"/>
        <v>1</v>
      </c>
      <c r="CO117" s="6">
        <f t="shared" si="15"/>
        <v>1</v>
      </c>
      <c r="CP117" s="6">
        <f t="shared" si="16"/>
        <v>1</v>
      </c>
      <c r="CQ117" s="6">
        <f t="shared" si="163"/>
        <v>1</v>
      </c>
      <c r="CR117" s="81" t="str">
        <f t="shared" si="17"/>
        <v/>
      </c>
      <c r="CS117">
        <f t="shared" si="164"/>
        <v>0</v>
      </c>
      <c r="CT117">
        <f t="shared" si="19"/>
        <v>150</v>
      </c>
      <c r="CU117" t="str">
        <f t="shared" si="29"/>
        <v/>
      </c>
      <c r="CV117" s="81">
        <f t="shared" si="165"/>
        <v>150</v>
      </c>
      <c r="CW117" s="81">
        <f>(CV117/25)^1.5*(Calculator!$BU$4/10000)*CW$5</f>
        <v>37.949052970673385</v>
      </c>
      <c r="CX117" t="str">
        <f t="shared" si="166"/>
        <v>$150</v>
      </c>
    </row>
    <row r="118" spans="2:102" x14ac:dyDescent="0.25">
      <c r="B118" s="115" t="s">
        <v>233</v>
      </c>
      <c r="C118" s="13">
        <v>46237.767361111109</v>
      </c>
      <c r="D118">
        <v>16206</v>
      </c>
      <c r="E118" s="54" t="s">
        <v>237</v>
      </c>
      <c r="F118" s="54" t="s">
        <v>499</v>
      </c>
      <c r="G118" s="54" t="s">
        <v>2260</v>
      </c>
      <c r="H118" s="55">
        <v>14.6</v>
      </c>
      <c r="I118" s="55">
        <v>14.2</v>
      </c>
      <c r="J118" s="55">
        <v>13.900000000000002</v>
      </c>
      <c r="K118" s="54"/>
      <c r="L118" s="56" t="b">
        <v>0</v>
      </c>
      <c r="M118" s="56" t="b">
        <v>0</v>
      </c>
      <c r="N118" s="54">
        <v>1</v>
      </c>
      <c r="O118" s="54" t="s">
        <v>228</v>
      </c>
      <c r="P118" s="54">
        <v>22</v>
      </c>
      <c r="Q118" s="54">
        <v>18</v>
      </c>
      <c r="R118" s="54">
        <v>180</v>
      </c>
      <c r="S118" s="54" t="s">
        <v>500</v>
      </c>
      <c r="T118" s="54" t="s">
        <v>2261</v>
      </c>
      <c r="U118" s="54" t="s">
        <v>2212</v>
      </c>
      <c r="V118" s="54" t="s">
        <v>502</v>
      </c>
      <c r="W118" s="54" t="b">
        <v>0</v>
      </c>
      <c r="X118" s="54"/>
      <c r="Y118" s="57" t="s">
        <v>2262</v>
      </c>
      <c r="Z118" s="54" t="s">
        <v>2263</v>
      </c>
      <c r="AA118" s="54"/>
      <c r="AB118" s="54" t="s">
        <v>504</v>
      </c>
      <c r="AC118" s="56" t="b">
        <v>1</v>
      </c>
      <c r="AD118" s="56" t="b">
        <v>0</v>
      </c>
      <c r="AE118" s="54" t="s">
        <v>303</v>
      </c>
      <c r="AF118" s="58">
        <v>46235</v>
      </c>
      <c r="AG118" s="62" t="s">
        <v>293</v>
      </c>
      <c r="AH118" s="54">
        <v>0</v>
      </c>
      <c r="AI118" s="54"/>
      <c r="AJ118" s="54"/>
      <c r="AK118" s="54"/>
      <c r="AL118" s="54"/>
      <c r="AM118" s="54">
        <v>0</v>
      </c>
      <c r="AN118" s="54"/>
      <c r="AO118" s="54"/>
      <c r="AP118" s="54"/>
      <c r="AQ118" s="54"/>
      <c r="AR118" s="54"/>
      <c r="AS118" s="54"/>
      <c r="AT118" s="54"/>
      <c r="AU118" s="54"/>
      <c r="AV118" s="54"/>
      <c r="AW118" s="54"/>
      <c r="AX118" s="59"/>
      <c r="AY118" s="59"/>
      <c r="AZ118" s="59"/>
      <c r="BA118" s="59"/>
      <c r="BB118" s="59">
        <v>7.7174000000000006E-2</v>
      </c>
      <c r="BC118" s="60"/>
      <c r="BD118" s="61"/>
      <c r="BE118" s="62" t="s">
        <v>293</v>
      </c>
      <c r="BF118" s="35">
        <f t="shared" si="0"/>
        <v>4.0600000000000005</v>
      </c>
      <c r="BG118" s="35">
        <f t="shared" si="0"/>
        <v>6.0295000000000001E-2</v>
      </c>
      <c r="BH118" s="35" t="str">
        <f t="shared" si="158"/>
        <v>Low</v>
      </c>
      <c r="BI118" s="110">
        <f t="shared" si="159"/>
        <v>0</v>
      </c>
      <c r="BJ118" s="83">
        <f>VLOOKUP($F118,REP_Info!$D$6:$H$250,5,FALSE)</f>
        <v>1.8160000000000001</v>
      </c>
      <c r="BK118" s="30">
        <f t="shared" si="1"/>
        <v>14.5589</v>
      </c>
      <c r="BL118" s="30">
        <f t="shared" si="1"/>
        <v>14.152899999999999</v>
      </c>
      <c r="BM118" s="30">
        <f t="shared" si="1"/>
        <v>13.949900000000001</v>
      </c>
      <c r="BN118" s="29">
        <f t="shared" si="1"/>
        <v>13.882233333333332</v>
      </c>
      <c r="BO118" s="85" t="str">
        <f t="shared" si="2"/>
        <v>$$$</v>
      </c>
      <c r="BP118" s="88" t="str">
        <f t="shared" si="160"/>
        <v>$$$</v>
      </c>
      <c r="BQ118" s="88" t="str">
        <f t="shared" si="4"/>
        <v>$$$</v>
      </c>
      <c r="BR118" s="88" t="str">
        <f t="shared" si="5"/>
        <v>$$$</v>
      </c>
      <c r="BS118" s="29" t="e">
        <f t="shared" si="169"/>
        <v>#N/A</v>
      </c>
      <c r="BT118" s="29" t="e">
        <f t="shared" si="169"/>
        <v>#N/A</v>
      </c>
      <c r="BU118" s="29" t="e">
        <f t="shared" si="169"/>
        <v>#N/A</v>
      </c>
      <c r="BV118" s="29" t="e">
        <f t="shared" si="169"/>
        <v>#N/A</v>
      </c>
      <c r="BW118" s="29" t="e">
        <f t="shared" si="169"/>
        <v>#N/A</v>
      </c>
      <c r="BX118" s="29" t="e">
        <f t="shared" si="169"/>
        <v>#N/A</v>
      </c>
      <c r="BY118" s="29" t="e">
        <f t="shared" si="169"/>
        <v>#N/A</v>
      </c>
      <c r="BZ118" s="29" t="e">
        <f t="shared" si="169"/>
        <v>#N/A</v>
      </c>
      <c r="CA118" s="29" t="e">
        <f t="shared" si="169"/>
        <v>#N/A</v>
      </c>
      <c r="CB118" s="29" t="e">
        <f t="shared" si="169"/>
        <v>#N/A</v>
      </c>
      <c r="CC118" s="29" t="e">
        <f t="shared" si="169"/>
        <v>#N/A</v>
      </c>
      <c r="CD118" s="29" t="e">
        <f t="shared" si="169"/>
        <v>#N/A</v>
      </c>
      <c r="CE118" s="6" t="str">
        <f t="shared" si="167"/>
        <v/>
      </c>
      <c r="CF118" s="27" t="e">
        <f>IF(AND(CI118,NOT(AD118)),LOOKUP(CF$5,{0,750,1500},H118:J118),"")</f>
        <v>#N/A</v>
      </c>
      <c r="CG118" s="6" t="str">
        <f t="shared" si="168"/>
        <v/>
      </c>
      <c r="CH118" t="e">
        <f t="shared" si="161"/>
        <v>#N/A</v>
      </c>
      <c r="CI118" t="e">
        <f t="shared" si="162"/>
        <v>#N/A</v>
      </c>
      <c r="CJ118" s="6" t="e">
        <f t="shared" si="11"/>
        <v>#N/A</v>
      </c>
      <c r="CK118" s="6">
        <f t="shared" si="12"/>
        <v>1</v>
      </c>
      <c r="CL118" s="6">
        <f t="shared" si="26"/>
        <v>1</v>
      </c>
      <c r="CM118" s="6">
        <f t="shared" si="13"/>
        <v>1</v>
      </c>
      <c r="CN118" s="6">
        <f t="shared" si="14"/>
        <v>1</v>
      </c>
      <c r="CO118" s="6">
        <f t="shared" si="15"/>
        <v>0</v>
      </c>
      <c r="CP118" s="6">
        <f t="shared" si="16"/>
        <v>1</v>
      </c>
      <c r="CQ118" s="6">
        <f t="shared" si="163"/>
        <v>1</v>
      </c>
      <c r="CR118" s="81" t="str">
        <f t="shared" si="17"/>
        <v/>
      </c>
      <c r="CS118">
        <f t="shared" si="164"/>
        <v>0</v>
      </c>
      <c r="CT118">
        <f t="shared" si="19"/>
        <v>180</v>
      </c>
      <c r="CU118" t="str">
        <f t="shared" si="29"/>
        <v/>
      </c>
      <c r="CV118" s="81">
        <f t="shared" si="165"/>
        <v>180</v>
      </c>
      <c r="CW118" s="81">
        <f>(CV118/25)^1.5*(Calculator!$BU$4/10000)*CW$5</f>
        <v>49.885325635190988</v>
      </c>
      <c r="CX118" t="str">
        <f t="shared" si="166"/>
        <v>$180</v>
      </c>
    </row>
    <row r="119" spans="2:102" x14ac:dyDescent="0.25">
      <c r="B119" s="115" t="s">
        <v>233</v>
      </c>
      <c r="C119" s="13">
        <v>46237.767361111109</v>
      </c>
      <c r="D119">
        <v>21516</v>
      </c>
      <c r="E119" s="54" t="s">
        <v>237</v>
      </c>
      <c r="F119" s="54" t="s">
        <v>499</v>
      </c>
      <c r="G119" s="54" t="s">
        <v>2257</v>
      </c>
      <c r="H119" s="55">
        <v>13.600000000000001</v>
      </c>
      <c r="I119" s="55">
        <v>13.200000000000001</v>
      </c>
      <c r="J119" s="55">
        <v>12.9</v>
      </c>
      <c r="K119" s="54"/>
      <c r="L119" s="56" t="b">
        <v>0</v>
      </c>
      <c r="M119" s="56" t="b">
        <v>0</v>
      </c>
      <c r="N119" s="54">
        <v>1</v>
      </c>
      <c r="O119" s="54" t="s">
        <v>228</v>
      </c>
      <c r="P119" s="54">
        <v>22</v>
      </c>
      <c r="Q119" s="54">
        <v>12</v>
      </c>
      <c r="R119" s="54">
        <v>150</v>
      </c>
      <c r="S119" s="54" t="s">
        <v>500</v>
      </c>
      <c r="T119" s="54" t="s">
        <v>2261</v>
      </c>
      <c r="U119" s="54" t="s">
        <v>501</v>
      </c>
      <c r="V119" s="54" t="s">
        <v>502</v>
      </c>
      <c r="W119" s="54" t="b">
        <v>0</v>
      </c>
      <c r="X119" s="54"/>
      <c r="Y119" s="57" t="s">
        <v>2264</v>
      </c>
      <c r="Z119" s="54" t="s">
        <v>2265</v>
      </c>
      <c r="AA119" s="54"/>
      <c r="AB119" s="54" t="s">
        <v>504</v>
      </c>
      <c r="AC119" s="56" t="b">
        <v>1</v>
      </c>
      <c r="AD119" s="56" t="b">
        <v>0</v>
      </c>
      <c r="AE119" s="54" t="s">
        <v>303</v>
      </c>
      <c r="AF119" s="58">
        <v>46235</v>
      </c>
      <c r="AG119" s="62" t="s">
        <v>293</v>
      </c>
      <c r="AH119" s="54">
        <v>0</v>
      </c>
      <c r="AI119" s="54"/>
      <c r="AJ119" s="54"/>
      <c r="AK119" s="54"/>
      <c r="AL119" s="54"/>
      <c r="AM119" s="54">
        <v>0</v>
      </c>
      <c r="AN119" s="54"/>
      <c r="AO119" s="54"/>
      <c r="AP119" s="54"/>
      <c r="AQ119" s="54"/>
      <c r="AR119" s="54"/>
      <c r="AS119" s="54"/>
      <c r="AT119" s="54"/>
      <c r="AU119" s="54"/>
      <c r="AV119" s="54"/>
      <c r="AW119" s="54"/>
      <c r="AX119" s="59"/>
      <c r="AY119" s="59"/>
      <c r="AZ119" s="59"/>
      <c r="BA119" s="59"/>
      <c r="BB119" s="59">
        <v>6.7173999999999998E-2</v>
      </c>
      <c r="BC119" s="60"/>
      <c r="BD119" s="61"/>
      <c r="BE119" s="62" t="s">
        <v>293</v>
      </c>
      <c r="BF119" s="35">
        <f t="shared" si="0"/>
        <v>4.0600000000000005</v>
      </c>
      <c r="BG119" s="35">
        <f t="shared" si="0"/>
        <v>6.0295000000000001E-2</v>
      </c>
      <c r="BH119" s="35" t="str">
        <f t="shared" si="158"/>
        <v>Low</v>
      </c>
      <c r="BI119" s="110">
        <f t="shared" si="159"/>
        <v>0</v>
      </c>
      <c r="BJ119" s="83">
        <f>VLOOKUP($F119,REP_Info!$D$6:$H$250,5,FALSE)</f>
        <v>1.8160000000000001</v>
      </c>
      <c r="BK119" s="30">
        <f t="shared" si="1"/>
        <v>13.5589</v>
      </c>
      <c r="BL119" s="30">
        <f t="shared" si="1"/>
        <v>13.152899999999999</v>
      </c>
      <c r="BM119" s="30">
        <f t="shared" si="1"/>
        <v>12.9499</v>
      </c>
      <c r="BN119" s="29">
        <f t="shared" si="1"/>
        <v>12.882233333333332</v>
      </c>
      <c r="BO119" s="85" t="str">
        <f t="shared" si="2"/>
        <v>$$$</v>
      </c>
      <c r="BP119" s="88" t="str">
        <f t="shared" si="160"/>
        <v>$$$</v>
      </c>
      <c r="BQ119" s="88" t="str">
        <f t="shared" si="4"/>
        <v>$$$</v>
      </c>
      <c r="BR119" s="88" t="str">
        <f t="shared" si="5"/>
        <v>$$$</v>
      </c>
      <c r="BS119" s="29" t="e">
        <f t="shared" si="169"/>
        <v>#N/A</v>
      </c>
      <c r="BT119" s="29" t="e">
        <f t="shared" si="169"/>
        <v>#N/A</v>
      </c>
      <c r="BU119" s="29" t="e">
        <f t="shared" si="169"/>
        <v>#N/A</v>
      </c>
      <c r="BV119" s="29" t="e">
        <f t="shared" si="169"/>
        <v>#N/A</v>
      </c>
      <c r="BW119" s="29" t="e">
        <f t="shared" si="169"/>
        <v>#N/A</v>
      </c>
      <c r="BX119" s="29" t="e">
        <f t="shared" si="169"/>
        <v>#N/A</v>
      </c>
      <c r="BY119" s="29" t="e">
        <f t="shared" si="169"/>
        <v>#N/A</v>
      </c>
      <c r="BZ119" s="29" t="e">
        <f t="shared" si="169"/>
        <v>#N/A</v>
      </c>
      <c r="CA119" s="29" t="e">
        <f t="shared" si="169"/>
        <v>#N/A</v>
      </c>
      <c r="CB119" s="29" t="e">
        <f t="shared" si="169"/>
        <v>#N/A</v>
      </c>
      <c r="CC119" s="29" t="e">
        <f t="shared" si="169"/>
        <v>#N/A</v>
      </c>
      <c r="CD119" s="29" t="e">
        <f t="shared" si="169"/>
        <v>#N/A</v>
      </c>
      <c r="CE119" s="6" t="str">
        <f t="shared" si="167"/>
        <v/>
      </c>
      <c r="CF119" s="27" t="e">
        <f>IF(AND(CI119,NOT(AD119)),LOOKUP(CF$5,{0,750,1500},H119:J119),"")</f>
        <v>#N/A</v>
      </c>
      <c r="CG119" s="6" t="str">
        <f t="shared" si="168"/>
        <v/>
      </c>
      <c r="CH119" t="e">
        <f t="shared" si="161"/>
        <v>#N/A</v>
      </c>
      <c r="CI119" t="e">
        <f t="shared" si="162"/>
        <v>#N/A</v>
      </c>
      <c r="CJ119" s="6" t="e">
        <f t="shared" si="11"/>
        <v>#N/A</v>
      </c>
      <c r="CK119" s="6">
        <f t="shared" si="12"/>
        <v>1</v>
      </c>
      <c r="CL119" s="6">
        <f t="shared" si="26"/>
        <v>1</v>
      </c>
      <c r="CM119" s="6">
        <f t="shared" si="13"/>
        <v>1</v>
      </c>
      <c r="CN119" s="6">
        <f t="shared" si="14"/>
        <v>1</v>
      </c>
      <c r="CO119" s="6">
        <f t="shared" si="15"/>
        <v>1</v>
      </c>
      <c r="CP119" s="6">
        <f t="shared" si="16"/>
        <v>1</v>
      </c>
      <c r="CQ119" s="6">
        <f t="shared" si="163"/>
        <v>1</v>
      </c>
      <c r="CR119" s="81" t="str">
        <f t="shared" si="17"/>
        <v/>
      </c>
      <c r="CS119">
        <f t="shared" si="164"/>
        <v>0</v>
      </c>
      <c r="CT119">
        <f t="shared" si="19"/>
        <v>150</v>
      </c>
      <c r="CU119" t="str">
        <f t="shared" si="29"/>
        <v/>
      </c>
      <c r="CV119" s="81">
        <f t="shared" si="165"/>
        <v>150</v>
      </c>
      <c r="CW119" s="81">
        <f>(CV119/25)^1.5*(Calculator!$BU$4/10000)*CW$5</f>
        <v>37.949052970673385</v>
      </c>
      <c r="CX119" t="str">
        <f t="shared" si="166"/>
        <v>$150</v>
      </c>
    </row>
    <row r="120" spans="2:102" x14ac:dyDescent="0.25">
      <c r="B120" s="115" t="s">
        <v>233</v>
      </c>
      <c r="C120" s="13">
        <v>46237.767361111109</v>
      </c>
      <c r="D120">
        <v>21784</v>
      </c>
      <c r="E120" s="54" t="s">
        <v>235</v>
      </c>
      <c r="F120" s="54" t="s">
        <v>499</v>
      </c>
      <c r="G120" s="54" t="s">
        <v>2266</v>
      </c>
      <c r="H120" s="55">
        <v>13.3</v>
      </c>
      <c r="I120" s="55">
        <v>12.8</v>
      </c>
      <c r="J120" s="55">
        <v>12.5</v>
      </c>
      <c r="K120" s="54"/>
      <c r="L120" s="56" t="b">
        <v>0</v>
      </c>
      <c r="M120" s="56" t="b">
        <v>0</v>
      </c>
      <c r="N120" s="54">
        <v>1</v>
      </c>
      <c r="O120" s="54" t="s">
        <v>228</v>
      </c>
      <c r="P120" s="54">
        <v>22</v>
      </c>
      <c r="Q120" s="54">
        <v>24</v>
      </c>
      <c r="R120" s="54">
        <v>295</v>
      </c>
      <c r="S120" s="54" t="s">
        <v>500</v>
      </c>
      <c r="T120" s="54" t="s">
        <v>2258</v>
      </c>
      <c r="U120" s="54" t="s">
        <v>501</v>
      </c>
      <c r="V120" s="54" t="s">
        <v>502</v>
      </c>
      <c r="W120" s="54" t="b">
        <v>0</v>
      </c>
      <c r="X120" s="54"/>
      <c r="Y120" s="57" t="s">
        <v>2267</v>
      </c>
      <c r="Z120" s="54" t="s">
        <v>503</v>
      </c>
      <c r="AA120" s="54"/>
      <c r="AB120" s="54" t="s">
        <v>504</v>
      </c>
      <c r="AC120" s="56" t="b">
        <v>1</v>
      </c>
      <c r="AD120" s="56" t="b">
        <v>0</v>
      </c>
      <c r="AE120" s="54" t="s">
        <v>303</v>
      </c>
      <c r="AF120" s="58">
        <v>46235</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7.1587999999999999E-2</v>
      </c>
      <c r="BC120" s="60"/>
      <c r="BD120" s="61"/>
      <c r="BE120" s="62" t="s">
        <v>293</v>
      </c>
      <c r="BF120" s="35">
        <f t="shared" si="0"/>
        <v>4.9000000000000004</v>
      </c>
      <c r="BG120" s="35">
        <f t="shared" si="0"/>
        <v>5.1461E-2</v>
      </c>
      <c r="BH120" s="35" t="str">
        <f t="shared" si="158"/>
        <v>Low</v>
      </c>
      <c r="BI120" s="110">
        <f t="shared" si="159"/>
        <v>0</v>
      </c>
      <c r="BJ120" s="83">
        <f>VLOOKUP($F120,REP_Info!$D$6:$H$250,5,FALSE)</f>
        <v>1.8160000000000001</v>
      </c>
      <c r="BK120" s="30">
        <f t="shared" si="1"/>
        <v>13.2849</v>
      </c>
      <c r="BL120" s="30">
        <f t="shared" si="1"/>
        <v>12.7949</v>
      </c>
      <c r="BM120" s="30">
        <f t="shared" si="1"/>
        <v>12.549899999999999</v>
      </c>
      <c r="BN120" s="29">
        <f t="shared" si="1"/>
        <v>12.468233333333334</v>
      </c>
      <c r="BO120" s="85" t="str">
        <f t="shared" si="2"/>
        <v>$$$</v>
      </c>
      <c r="BP120" s="88" t="str">
        <f t="shared" si="160"/>
        <v>$$$</v>
      </c>
      <c r="BQ120" s="88" t="str">
        <f t="shared" si="4"/>
        <v>$$$</v>
      </c>
      <c r="BR120" s="88" t="str">
        <f t="shared" si="5"/>
        <v>$$$</v>
      </c>
      <c r="BS120" s="29" t="e">
        <f t="shared" si="169"/>
        <v>#N/A</v>
      </c>
      <c r="BT120" s="29" t="e">
        <f t="shared" si="169"/>
        <v>#N/A</v>
      </c>
      <c r="BU120" s="29" t="e">
        <f t="shared" si="169"/>
        <v>#N/A</v>
      </c>
      <c r="BV120" s="29" t="e">
        <f t="shared" si="169"/>
        <v>#N/A</v>
      </c>
      <c r="BW120" s="29" t="e">
        <f t="shared" si="169"/>
        <v>#N/A</v>
      </c>
      <c r="BX120" s="29" t="e">
        <f t="shared" si="169"/>
        <v>#N/A</v>
      </c>
      <c r="BY120" s="29" t="e">
        <f t="shared" si="169"/>
        <v>#N/A</v>
      </c>
      <c r="BZ120" s="29" t="e">
        <f t="shared" si="169"/>
        <v>#N/A</v>
      </c>
      <c r="CA120" s="29" t="e">
        <f t="shared" si="169"/>
        <v>#N/A</v>
      </c>
      <c r="CB120" s="29" t="e">
        <f t="shared" si="169"/>
        <v>#N/A</v>
      </c>
      <c r="CC120" s="29" t="e">
        <f t="shared" si="169"/>
        <v>#N/A</v>
      </c>
      <c r="CD120" s="29" t="e">
        <f t="shared" si="169"/>
        <v>#N/A</v>
      </c>
      <c r="CE120" s="6" t="str">
        <f t="shared" si="167"/>
        <v/>
      </c>
      <c r="CF120" s="27" t="e">
        <f>IF(AND(CI120,NOT(AD120)),LOOKUP(CF$5,{0,750,1500},H120:J120),"")</f>
        <v>#N/A</v>
      </c>
      <c r="CG120" s="6" t="str">
        <f t="shared" si="168"/>
        <v/>
      </c>
      <c r="CH120" t="e">
        <f t="shared" si="161"/>
        <v>#N/A</v>
      </c>
      <c r="CI120" t="e">
        <f t="shared" si="162"/>
        <v>#N/A</v>
      </c>
      <c r="CJ120" s="6" t="e">
        <f t="shared" si="11"/>
        <v>#N/A</v>
      </c>
      <c r="CK120" s="6">
        <f t="shared" si="12"/>
        <v>1</v>
      </c>
      <c r="CL120" s="6">
        <f t="shared" si="26"/>
        <v>1</v>
      </c>
      <c r="CM120" s="6">
        <f t="shared" si="13"/>
        <v>1</v>
      </c>
      <c r="CN120" s="6">
        <f t="shared" si="14"/>
        <v>1</v>
      </c>
      <c r="CO120" s="6">
        <f t="shared" si="15"/>
        <v>0</v>
      </c>
      <c r="CP120" s="6">
        <f t="shared" si="16"/>
        <v>1</v>
      </c>
      <c r="CQ120" s="6">
        <f t="shared" si="163"/>
        <v>1</v>
      </c>
      <c r="CR120" s="81" t="str">
        <f t="shared" si="17"/>
        <v/>
      </c>
      <c r="CS120">
        <f t="shared" si="164"/>
        <v>0</v>
      </c>
      <c r="CT120">
        <f t="shared" si="19"/>
        <v>295</v>
      </c>
      <c r="CU120" t="str">
        <f t="shared" si="29"/>
        <v/>
      </c>
      <c r="CV120" s="81">
        <f t="shared" si="165"/>
        <v>295</v>
      </c>
      <c r="CW120" s="81">
        <f>(CV120/25)^1.5*(Calculator!$BU$4/10000)*CW$5</f>
        <v>104.66393961177546</v>
      </c>
      <c r="CX120" t="str">
        <f t="shared" si="166"/>
        <v>$295</v>
      </c>
    </row>
    <row r="121" spans="2:102" x14ac:dyDescent="0.25">
      <c r="B121" s="115" t="s">
        <v>233</v>
      </c>
      <c r="C121" s="13">
        <v>46237.767361111109</v>
      </c>
      <c r="D121">
        <v>21786</v>
      </c>
      <c r="E121" s="54" t="s">
        <v>237</v>
      </c>
      <c r="F121" s="54" t="s">
        <v>499</v>
      </c>
      <c r="G121" s="54" t="s">
        <v>2266</v>
      </c>
      <c r="H121" s="55">
        <v>14.2</v>
      </c>
      <c r="I121" s="55">
        <v>13.8</v>
      </c>
      <c r="J121" s="55">
        <v>13.5</v>
      </c>
      <c r="K121" s="54"/>
      <c r="L121" s="56" t="b">
        <v>0</v>
      </c>
      <c r="M121" s="56" t="b">
        <v>0</v>
      </c>
      <c r="N121" s="54">
        <v>1</v>
      </c>
      <c r="O121" s="54" t="s">
        <v>228</v>
      </c>
      <c r="P121" s="54">
        <v>22</v>
      </c>
      <c r="Q121" s="54">
        <v>24</v>
      </c>
      <c r="R121" s="54">
        <v>295</v>
      </c>
      <c r="S121" s="54" t="s">
        <v>500</v>
      </c>
      <c r="T121" s="54" t="s">
        <v>2261</v>
      </c>
      <c r="U121" s="54" t="s">
        <v>501</v>
      </c>
      <c r="V121" s="54" t="s">
        <v>502</v>
      </c>
      <c r="W121" s="54" t="b">
        <v>0</v>
      </c>
      <c r="X121" s="54"/>
      <c r="Y121" s="57" t="s">
        <v>2268</v>
      </c>
      <c r="Z121" s="54" t="s">
        <v>2265</v>
      </c>
      <c r="AA121" s="54"/>
      <c r="AB121" s="54" t="s">
        <v>504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7.3174000000000003E-2</v>
      </c>
      <c r="BC121" s="60"/>
      <c r="BD121" s="61"/>
      <c r="BE121" s="62" t="s">
        <v>293</v>
      </c>
      <c r="BF121" s="35">
        <f t="shared" si="0"/>
        <v>4.0600000000000005</v>
      </c>
      <c r="BG121" s="35">
        <f t="shared" si="0"/>
        <v>6.0295000000000001E-2</v>
      </c>
      <c r="BH121" s="35" t="str">
        <f t="shared" si="158"/>
        <v>Low</v>
      </c>
      <c r="BI121" s="110">
        <f t="shared" si="159"/>
        <v>0</v>
      </c>
      <c r="BJ121" s="83">
        <f>VLOOKUP($F121,REP_Info!$D$6:$H$250,5,FALSE)</f>
        <v>1.8160000000000001</v>
      </c>
      <c r="BK121" s="30">
        <f t="shared" si="1"/>
        <v>14.158899999999999</v>
      </c>
      <c r="BL121" s="30">
        <f t="shared" si="1"/>
        <v>13.7529</v>
      </c>
      <c r="BM121" s="30">
        <f t="shared" si="1"/>
        <v>13.549900000000001</v>
      </c>
      <c r="BN121" s="29">
        <f t="shared" si="1"/>
        <v>13.482233333333332</v>
      </c>
      <c r="BO121" s="85" t="str">
        <f t="shared" si="2"/>
        <v>$$$</v>
      </c>
      <c r="BP121" s="88" t="str">
        <f t="shared" si="160"/>
        <v>$$$</v>
      </c>
      <c r="BQ121" s="88" t="str">
        <f t="shared" si="4"/>
        <v>$$$</v>
      </c>
      <c r="BR121" s="88" t="str">
        <f t="shared" si="5"/>
        <v>$$$</v>
      </c>
      <c r="BS121" s="29" t="e">
        <f t="shared" si="169"/>
        <v>#N/A</v>
      </c>
      <c r="BT121" s="29" t="e">
        <f t="shared" si="169"/>
        <v>#N/A</v>
      </c>
      <c r="BU121" s="29" t="e">
        <f t="shared" si="169"/>
        <v>#N/A</v>
      </c>
      <c r="BV121" s="29" t="e">
        <f t="shared" si="169"/>
        <v>#N/A</v>
      </c>
      <c r="BW121" s="29" t="e">
        <f t="shared" si="169"/>
        <v>#N/A</v>
      </c>
      <c r="BX121" s="29" t="e">
        <f t="shared" si="169"/>
        <v>#N/A</v>
      </c>
      <c r="BY121" s="29" t="e">
        <f t="shared" si="169"/>
        <v>#N/A</v>
      </c>
      <c r="BZ121" s="29" t="e">
        <f t="shared" si="169"/>
        <v>#N/A</v>
      </c>
      <c r="CA121" s="29" t="e">
        <f t="shared" si="169"/>
        <v>#N/A</v>
      </c>
      <c r="CB121" s="29" t="e">
        <f t="shared" si="169"/>
        <v>#N/A</v>
      </c>
      <c r="CC121" s="29" t="e">
        <f t="shared" si="169"/>
        <v>#N/A</v>
      </c>
      <c r="CD121" s="29" t="e">
        <f t="shared" si="169"/>
        <v>#N/A</v>
      </c>
      <c r="CE121" s="6" t="str">
        <f t="shared" si="167"/>
        <v/>
      </c>
      <c r="CF121" s="27" t="e">
        <f>IF(AND(CI121,NOT(AD121)),LOOKUP(CF$5,{0,750,1500},H121:J121),"")</f>
        <v>#N/A</v>
      </c>
      <c r="CG121" s="6" t="str">
        <f t="shared" si="168"/>
        <v/>
      </c>
      <c r="CH121" t="e">
        <f t="shared" si="161"/>
        <v>#N/A</v>
      </c>
      <c r="CI121" t="e">
        <f t="shared" si="162"/>
        <v>#N/A</v>
      </c>
      <c r="CJ121" s="6" t="e">
        <f t="shared" si="11"/>
        <v>#N/A</v>
      </c>
      <c r="CK121" s="6">
        <f t="shared" si="12"/>
        <v>1</v>
      </c>
      <c r="CL121" s="6">
        <f t="shared" si="26"/>
        <v>1</v>
      </c>
      <c r="CM121" s="6">
        <f t="shared" si="13"/>
        <v>1</v>
      </c>
      <c r="CN121" s="6">
        <f t="shared" si="14"/>
        <v>1</v>
      </c>
      <c r="CO121" s="6">
        <f t="shared" si="15"/>
        <v>0</v>
      </c>
      <c r="CP121" s="6">
        <f t="shared" si="16"/>
        <v>1</v>
      </c>
      <c r="CQ121" s="6">
        <f t="shared" si="163"/>
        <v>1</v>
      </c>
      <c r="CR121" s="81" t="str">
        <f t="shared" si="17"/>
        <v/>
      </c>
      <c r="CS121">
        <f t="shared" si="164"/>
        <v>0</v>
      </c>
      <c r="CT121">
        <f t="shared" si="19"/>
        <v>295</v>
      </c>
      <c r="CU121" t="str">
        <f t="shared" si="29"/>
        <v/>
      </c>
      <c r="CV121" s="81">
        <f t="shared" si="165"/>
        <v>295</v>
      </c>
      <c r="CW121" s="81">
        <f>(CV121/25)^1.5*(Calculator!$BU$4/10000)*CW$5</f>
        <v>104.66393961177546</v>
      </c>
      <c r="CX121" t="str">
        <f t="shared" si="166"/>
        <v>$295</v>
      </c>
    </row>
    <row r="122" spans="2:102" x14ac:dyDescent="0.25">
      <c r="B122" s="115" t="s">
        <v>233</v>
      </c>
      <c r="C122" s="13">
        <v>46237.767361111109</v>
      </c>
      <c r="D122">
        <v>26355</v>
      </c>
      <c r="E122" s="54" t="s">
        <v>235</v>
      </c>
      <c r="F122" s="54" t="s">
        <v>499</v>
      </c>
      <c r="G122" s="54" t="s">
        <v>2260</v>
      </c>
      <c r="H122" s="55">
        <v>13.3</v>
      </c>
      <c r="I122" s="55">
        <v>12.8</v>
      </c>
      <c r="J122" s="55">
        <v>12.5</v>
      </c>
      <c r="K122" s="54"/>
      <c r="L122" s="56" t="b">
        <v>0</v>
      </c>
      <c r="M122" s="56" t="b">
        <v>0</v>
      </c>
      <c r="N122" s="54">
        <v>1</v>
      </c>
      <c r="O122" s="54" t="s">
        <v>228</v>
      </c>
      <c r="P122" s="54">
        <v>22</v>
      </c>
      <c r="Q122" s="54">
        <v>18</v>
      </c>
      <c r="R122" s="54">
        <v>180</v>
      </c>
      <c r="S122" s="54" t="s">
        <v>500</v>
      </c>
      <c r="T122" s="54" t="s">
        <v>2261</v>
      </c>
      <c r="U122" s="54" t="s">
        <v>2212</v>
      </c>
      <c r="V122" s="54" t="s">
        <v>502</v>
      </c>
      <c r="W122" s="54" t="b">
        <v>0</v>
      </c>
      <c r="X122" s="54"/>
      <c r="Y122" s="57" t="s">
        <v>2269</v>
      </c>
      <c r="Z122" s="54" t="s">
        <v>2263</v>
      </c>
      <c r="AA122" s="54"/>
      <c r="AB122" s="54" t="s">
        <v>504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7.1587999999999999E-2</v>
      </c>
      <c r="BC122" s="60"/>
      <c r="BD122" s="61"/>
      <c r="BE122" s="62" t="s">
        <v>293</v>
      </c>
      <c r="BF122" s="35">
        <f t="shared" si="0"/>
        <v>4.9000000000000004</v>
      </c>
      <c r="BG122" s="35">
        <f t="shared" si="0"/>
        <v>5.1461E-2</v>
      </c>
      <c r="BH122" s="35" t="str">
        <f t="shared" si="158"/>
        <v>Low</v>
      </c>
      <c r="BI122" s="110">
        <f t="shared" si="159"/>
        <v>0</v>
      </c>
      <c r="BJ122" s="83">
        <f>VLOOKUP($F122,REP_Info!$D$6:$H$250,5,FALSE)</f>
        <v>1.8160000000000001</v>
      </c>
      <c r="BK122" s="30">
        <f t="shared" si="1"/>
        <v>13.2849</v>
      </c>
      <c r="BL122" s="30">
        <f t="shared" si="1"/>
        <v>12.7949</v>
      </c>
      <c r="BM122" s="30">
        <f t="shared" si="1"/>
        <v>12.549899999999999</v>
      </c>
      <c r="BN122" s="29">
        <f t="shared" si="1"/>
        <v>12.468233333333334</v>
      </c>
      <c r="BO122" s="85" t="str">
        <f t="shared" si="2"/>
        <v>$$$</v>
      </c>
      <c r="BP122" s="88" t="str">
        <f t="shared" si="160"/>
        <v>$$$</v>
      </c>
      <c r="BQ122" s="88" t="str">
        <f t="shared" si="4"/>
        <v>$$$</v>
      </c>
      <c r="BR122" s="88" t="str">
        <f t="shared" si="5"/>
        <v>$$$</v>
      </c>
      <c r="BS122" s="29" t="e">
        <f t="shared" si="169"/>
        <v>#N/A</v>
      </c>
      <c r="BT122" s="29" t="e">
        <f t="shared" si="169"/>
        <v>#N/A</v>
      </c>
      <c r="BU122" s="29" t="e">
        <f t="shared" si="169"/>
        <v>#N/A</v>
      </c>
      <c r="BV122" s="29" t="e">
        <f t="shared" si="169"/>
        <v>#N/A</v>
      </c>
      <c r="BW122" s="29" t="e">
        <f t="shared" si="169"/>
        <v>#N/A</v>
      </c>
      <c r="BX122" s="29" t="e">
        <f t="shared" si="169"/>
        <v>#N/A</v>
      </c>
      <c r="BY122" s="29" t="e">
        <f t="shared" si="169"/>
        <v>#N/A</v>
      </c>
      <c r="BZ122" s="29" t="e">
        <f t="shared" si="169"/>
        <v>#N/A</v>
      </c>
      <c r="CA122" s="29" t="e">
        <f t="shared" si="169"/>
        <v>#N/A</v>
      </c>
      <c r="CB122" s="29" t="e">
        <f t="shared" si="169"/>
        <v>#N/A</v>
      </c>
      <c r="CC122" s="29" t="e">
        <f t="shared" si="169"/>
        <v>#N/A</v>
      </c>
      <c r="CD122" s="29" t="e">
        <f t="shared" si="169"/>
        <v>#N/A</v>
      </c>
      <c r="CE122" s="6" t="str">
        <f t="shared" si="167"/>
        <v/>
      </c>
      <c r="CF122" s="27" t="e">
        <f>IF(AND(CI122,NOT(AD122)),LOOKUP(CF$5,{0,750,1500},H122:J122),"")</f>
        <v>#N/A</v>
      </c>
      <c r="CG122" s="6" t="str">
        <f t="shared" si="168"/>
        <v/>
      </c>
      <c r="CH122" t="e">
        <f t="shared" si="161"/>
        <v>#N/A</v>
      </c>
      <c r="CI122" t="e">
        <f t="shared" si="162"/>
        <v>#N/A</v>
      </c>
      <c r="CJ122" s="6" t="e">
        <f t="shared" si="11"/>
        <v>#N/A</v>
      </c>
      <c r="CK122" s="6">
        <f t="shared" si="12"/>
        <v>1</v>
      </c>
      <c r="CL122" s="6">
        <f t="shared" si="26"/>
        <v>1</v>
      </c>
      <c r="CM122" s="6">
        <f t="shared" si="13"/>
        <v>1</v>
      </c>
      <c r="CN122" s="6">
        <f t="shared" si="14"/>
        <v>1</v>
      </c>
      <c r="CO122" s="6">
        <f t="shared" si="15"/>
        <v>0</v>
      </c>
      <c r="CP122" s="6">
        <f t="shared" si="16"/>
        <v>1</v>
      </c>
      <c r="CQ122" s="6">
        <f t="shared" si="163"/>
        <v>1</v>
      </c>
      <c r="CR122" s="81" t="str">
        <f t="shared" si="17"/>
        <v/>
      </c>
      <c r="CS122">
        <f t="shared" si="164"/>
        <v>0</v>
      </c>
      <c r="CT122">
        <f t="shared" si="19"/>
        <v>180</v>
      </c>
      <c r="CU122" t="str">
        <f t="shared" si="29"/>
        <v/>
      </c>
      <c r="CV122" s="81">
        <f t="shared" si="165"/>
        <v>180</v>
      </c>
      <c r="CW122" s="81">
        <f>(CV122/25)^1.5*(Calculator!$BU$4/10000)*CW$5</f>
        <v>49.885325635190988</v>
      </c>
      <c r="CX122" t="str">
        <f t="shared" si="166"/>
        <v>$180</v>
      </c>
    </row>
    <row r="123" spans="2:102" x14ac:dyDescent="0.25">
      <c r="B123" s="115" t="s">
        <v>233</v>
      </c>
      <c r="C123" s="13">
        <v>46237.767361111109</v>
      </c>
      <c r="D123">
        <v>34508</v>
      </c>
      <c r="E123" s="54" t="s">
        <v>235</v>
      </c>
      <c r="F123" s="54" t="s">
        <v>499</v>
      </c>
      <c r="G123" s="54" t="s">
        <v>2270</v>
      </c>
      <c r="H123" s="55">
        <v>12.7</v>
      </c>
      <c r="I123" s="55">
        <v>12.2</v>
      </c>
      <c r="J123" s="55">
        <v>11.899999999999999</v>
      </c>
      <c r="K123" s="54"/>
      <c r="L123" s="56" t="b">
        <v>0</v>
      </c>
      <c r="M123" s="56" t="b">
        <v>0</v>
      </c>
      <c r="N123" s="54">
        <v>1</v>
      </c>
      <c r="O123" s="54" t="s">
        <v>228</v>
      </c>
      <c r="P123" s="54">
        <v>22</v>
      </c>
      <c r="Q123" s="54">
        <v>10</v>
      </c>
      <c r="R123" s="54">
        <v>95</v>
      </c>
      <c r="S123" s="54"/>
      <c r="T123" s="54"/>
      <c r="U123" s="54" t="s">
        <v>501</v>
      </c>
      <c r="V123" s="54" t="s">
        <v>502</v>
      </c>
      <c r="W123" s="54" t="b">
        <v>0</v>
      </c>
      <c r="X123" s="54"/>
      <c r="Y123" s="57" t="s">
        <v>2271</v>
      </c>
      <c r="Z123" s="54" t="s">
        <v>2263</v>
      </c>
      <c r="AA123" s="54"/>
      <c r="AB123" s="54" t="s">
        <v>504</v>
      </c>
      <c r="AC123" s="56" t="b">
        <v>0</v>
      </c>
      <c r="AD123" s="56" t="b">
        <v>0</v>
      </c>
      <c r="AE123" s="54" t="s">
        <v>303</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6.5587999999999994E-2</v>
      </c>
      <c r="BC123" s="60"/>
      <c r="BD123" s="61"/>
      <c r="BE123" s="62" t="s">
        <v>293</v>
      </c>
      <c r="BF123" s="35">
        <f t="shared" si="0"/>
        <v>4.9000000000000004</v>
      </c>
      <c r="BG123" s="35">
        <f t="shared" si="0"/>
        <v>5.1461E-2</v>
      </c>
      <c r="BH123" s="35" t="str">
        <f t="shared" si="158"/>
        <v>Low</v>
      </c>
      <c r="BI123" s="110">
        <f t="shared" si="159"/>
        <v>0</v>
      </c>
      <c r="BJ123" s="83">
        <f>VLOOKUP($F123,REP_Info!$D$6:$H$250,5,FALSE)</f>
        <v>1.8160000000000001</v>
      </c>
      <c r="BK123" s="30">
        <f t="shared" si="1"/>
        <v>12.684899999999999</v>
      </c>
      <c r="BL123" s="30">
        <f t="shared" si="1"/>
        <v>12.194900000000001</v>
      </c>
      <c r="BM123" s="30">
        <f t="shared" si="1"/>
        <v>11.9499</v>
      </c>
      <c r="BN123" s="29">
        <f t="shared" si="1"/>
        <v>11.868233333333334</v>
      </c>
      <c r="BO123" s="85" t="str">
        <f t="shared" si="2"/>
        <v>$$$</v>
      </c>
      <c r="BP123" s="88" t="str">
        <f t="shared" si="160"/>
        <v>$$$</v>
      </c>
      <c r="BQ123" s="88" t="str">
        <f t="shared" si="4"/>
        <v>$$$</v>
      </c>
      <c r="BR123" s="88" t="str">
        <f t="shared" si="5"/>
        <v>$$$</v>
      </c>
      <c r="BS123" s="29" t="e">
        <f t="shared" si="169"/>
        <v>#N/A</v>
      </c>
      <c r="BT123" s="29" t="e">
        <f t="shared" si="169"/>
        <v>#N/A</v>
      </c>
      <c r="BU123" s="29" t="e">
        <f t="shared" si="169"/>
        <v>#N/A</v>
      </c>
      <c r="BV123" s="29" t="e">
        <f t="shared" si="169"/>
        <v>#N/A</v>
      </c>
      <c r="BW123" s="29" t="e">
        <f t="shared" si="169"/>
        <v>#N/A</v>
      </c>
      <c r="BX123" s="29" t="e">
        <f t="shared" si="169"/>
        <v>#N/A</v>
      </c>
      <c r="BY123" s="29" t="e">
        <f t="shared" si="169"/>
        <v>#N/A</v>
      </c>
      <c r="BZ123" s="29" t="e">
        <f t="shared" si="169"/>
        <v>#N/A</v>
      </c>
      <c r="CA123" s="29" t="e">
        <f t="shared" si="169"/>
        <v>#N/A</v>
      </c>
      <c r="CB123" s="29" t="e">
        <f t="shared" si="169"/>
        <v>#N/A</v>
      </c>
      <c r="CC123" s="29" t="e">
        <f t="shared" si="169"/>
        <v>#N/A</v>
      </c>
      <c r="CD123" s="29" t="e">
        <f t="shared" si="169"/>
        <v>#N/A</v>
      </c>
      <c r="CE123" s="6" t="str">
        <f t="shared" si="167"/>
        <v/>
      </c>
      <c r="CF123" s="27" t="e">
        <f>IF(AND(CI123,NOT(AD123)),LOOKUP(CF$5,{0,750,1500},H123:J123),"")</f>
        <v>#N/A</v>
      </c>
      <c r="CG123" s="6" t="str">
        <f t="shared" si="168"/>
        <v/>
      </c>
      <c r="CH123" t="e">
        <f t="shared" si="161"/>
        <v>#N/A</v>
      </c>
      <c r="CI123" t="e">
        <f t="shared" si="162"/>
        <v>#N/A</v>
      </c>
      <c r="CJ123" s="6" t="e">
        <f t="shared" si="11"/>
        <v>#N/A</v>
      </c>
      <c r="CK123" s="6">
        <f t="shared" si="12"/>
        <v>1</v>
      </c>
      <c r="CL123" s="6">
        <f t="shared" si="26"/>
        <v>1</v>
      </c>
      <c r="CM123" s="6">
        <f t="shared" si="13"/>
        <v>1</v>
      </c>
      <c r="CN123" s="6">
        <f t="shared" si="14"/>
        <v>0</v>
      </c>
      <c r="CO123" s="6">
        <f t="shared" si="15"/>
        <v>1</v>
      </c>
      <c r="CP123" s="6">
        <f t="shared" si="16"/>
        <v>1</v>
      </c>
      <c r="CQ123" s="6">
        <f t="shared" si="163"/>
        <v>1</v>
      </c>
      <c r="CR123" s="81" t="str">
        <f t="shared" si="17"/>
        <v/>
      </c>
      <c r="CS123">
        <f t="shared" si="164"/>
        <v>3.5999999999999992</v>
      </c>
      <c r="CT123">
        <f t="shared" si="19"/>
        <v>95</v>
      </c>
      <c r="CU123" t="str">
        <f t="shared" si="29"/>
        <v/>
      </c>
      <c r="CV123" s="81">
        <f t="shared" si="165"/>
        <v>95</v>
      </c>
      <c r="CW123" s="81">
        <f>(CV123/25)^1.5*(Calculator!$BU$4/10000)*CW$5</f>
        <v>19.127114680457929</v>
      </c>
      <c r="CX123" t="str">
        <f t="shared" si="166"/>
        <v>$95</v>
      </c>
    </row>
    <row r="124" spans="2:102" x14ac:dyDescent="0.25">
      <c r="B124" s="115" t="s">
        <v>233</v>
      </c>
      <c r="C124" s="13">
        <v>46237.767361111109</v>
      </c>
      <c r="D124">
        <v>34512</v>
      </c>
      <c r="E124" s="54" t="s">
        <v>237</v>
      </c>
      <c r="F124" s="54" t="s">
        <v>499</v>
      </c>
      <c r="G124" s="54" t="s">
        <v>2270</v>
      </c>
      <c r="H124" s="55">
        <v>13.600000000000001</v>
      </c>
      <c r="I124" s="55">
        <v>13.200000000000001</v>
      </c>
      <c r="J124" s="55">
        <v>12.9</v>
      </c>
      <c r="K124" s="54"/>
      <c r="L124" s="56" t="b">
        <v>0</v>
      </c>
      <c r="M124" s="56" t="b">
        <v>0</v>
      </c>
      <c r="N124" s="54">
        <v>1</v>
      </c>
      <c r="O124" s="54" t="s">
        <v>228</v>
      </c>
      <c r="P124" s="54">
        <v>22</v>
      </c>
      <c r="Q124" s="54">
        <v>10</v>
      </c>
      <c r="R124" s="54">
        <v>95</v>
      </c>
      <c r="S124" s="54" t="s">
        <v>500</v>
      </c>
      <c r="T124" s="54"/>
      <c r="U124" s="54" t="s">
        <v>501</v>
      </c>
      <c r="V124" s="54" t="s">
        <v>502</v>
      </c>
      <c r="W124" s="54" t="b">
        <v>0</v>
      </c>
      <c r="X124" s="54"/>
      <c r="Y124" s="57" t="s">
        <v>2272</v>
      </c>
      <c r="Z124" s="54" t="s">
        <v>2263</v>
      </c>
      <c r="AA124" s="54"/>
      <c r="AB124" s="54" t="s">
        <v>504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158"/>
        <v>Low</v>
      </c>
      <c r="BI124" s="110">
        <f t="shared" si="159"/>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160"/>
        <v>$$$</v>
      </c>
      <c r="BQ124" s="88" t="str">
        <f t="shared" si="4"/>
        <v>$$$</v>
      </c>
      <c r="BR124" s="88" t="str">
        <f t="shared" si="5"/>
        <v>$$$</v>
      </c>
      <c r="BS124" s="29" t="e">
        <f t="shared" si="169"/>
        <v>#N/A</v>
      </c>
      <c r="BT124" s="29" t="e">
        <f t="shared" si="169"/>
        <v>#N/A</v>
      </c>
      <c r="BU124" s="29" t="e">
        <f t="shared" si="169"/>
        <v>#N/A</v>
      </c>
      <c r="BV124" s="29" t="e">
        <f t="shared" si="169"/>
        <v>#N/A</v>
      </c>
      <c r="BW124" s="29" t="e">
        <f t="shared" si="169"/>
        <v>#N/A</v>
      </c>
      <c r="BX124" s="29" t="e">
        <f t="shared" si="169"/>
        <v>#N/A</v>
      </c>
      <c r="BY124" s="29" t="e">
        <f t="shared" ref="BS124:CD145" si="170">IF($CI124,IF(BY$7&gt;0,IF(BY$4&gt;$Q124,$BF124+BY$7*(BY$5+$BG124+$BI124),LOOKUP(BY$7,$AH124:$AL124,$AM124:$AQ124)+IF($AG124="Y",SUMPRODUCT($AX124:$BB124-$AW124:$BA124,BY$7-$AR124:$AV124,N(BY$7&gt;$AR124:$AV124)),BY$7*LOOKUP(BY$7,$AR124:$AV124,$AX124:$BB124))+IF($BE124="Y",$BF124,$BC124)+BY$7*IF($BE124="Y",$BG124,$BD124))*100/BY$7,""),NA())</f>
        <v>#N/A</v>
      </c>
      <c r="BZ124" s="29" t="e">
        <f t="shared" si="170"/>
        <v>#N/A</v>
      </c>
      <c r="CA124" s="29" t="e">
        <f t="shared" si="170"/>
        <v>#N/A</v>
      </c>
      <c r="CB124" s="29" t="e">
        <f t="shared" si="170"/>
        <v>#N/A</v>
      </c>
      <c r="CC124" s="29" t="e">
        <f t="shared" si="170"/>
        <v>#N/A</v>
      </c>
      <c r="CD124" s="29" t="e">
        <f t="shared" si="170"/>
        <v>#N/A</v>
      </c>
      <c r="CE124" s="6" t="str">
        <f t="shared" si="167"/>
        <v/>
      </c>
      <c r="CF124" s="27" t="e">
        <f>IF(AND(CI124,NOT(AD124)),LOOKUP(CF$5,{0,750,1500},H124:J124),"")</f>
        <v>#N/A</v>
      </c>
      <c r="CG124" s="6" t="str">
        <f t="shared" si="168"/>
        <v/>
      </c>
      <c r="CH124" t="e">
        <f t="shared" si="161"/>
        <v>#N/A</v>
      </c>
      <c r="CI124" t="e">
        <f t="shared" si="162"/>
        <v>#N/A</v>
      </c>
      <c r="CJ124" s="6" t="e">
        <f t="shared" si="11"/>
        <v>#N/A</v>
      </c>
      <c r="CK124" s="6">
        <f t="shared" si="12"/>
        <v>1</v>
      </c>
      <c r="CL124" s="6">
        <f t="shared" si="26"/>
        <v>1</v>
      </c>
      <c r="CM124" s="6">
        <f t="shared" si="13"/>
        <v>1</v>
      </c>
      <c r="CN124" s="6">
        <f t="shared" si="14"/>
        <v>0</v>
      </c>
      <c r="CO124" s="6">
        <f t="shared" si="15"/>
        <v>1</v>
      </c>
      <c r="CP124" s="6">
        <f t="shared" si="16"/>
        <v>1</v>
      </c>
      <c r="CQ124" s="6">
        <f t="shared" si="163"/>
        <v>1</v>
      </c>
      <c r="CR124" s="81" t="str">
        <f t="shared" si="17"/>
        <v/>
      </c>
      <c r="CS124">
        <f t="shared" si="164"/>
        <v>3.5999999999999992</v>
      </c>
      <c r="CT124">
        <f t="shared" si="19"/>
        <v>95</v>
      </c>
      <c r="CU124" t="str">
        <f t="shared" si="29"/>
        <v/>
      </c>
      <c r="CV124" s="81">
        <f t="shared" si="165"/>
        <v>95</v>
      </c>
      <c r="CW124" s="81">
        <f>(CV124/25)^1.5*(Calculator!$BU$4/10000)*CW$5</f>
        <v>19.127114680457929</v>
      </c>
      <c r="CX124" t="str">
        <f t="shared" si="166"/>
        <v>$95</v>
      </c>
    </row>
    <row r="125" spans="2:102" x14ac:dyDescent="0.25">
      <c r="B125" s="115" t="s">
        <v>233</v>
      </c>
      <c r="C125" s="13">
        <v>46237.767361111109</v>
      </c>
      <c r="D125">
        <v>37204</v>
      </c>
      <c r="E125" s="54" t="s">
        <v>235</v>
      </c>
      <c r="F125" s="54" t="s">
        <v>499</v>
      </c>
      <c r="G125" s="54" t="s">
        <v>2273</v>
      </c>
      <c r="H125" s="55">
        <v>12.7</v>
      </c>
      <c r="I125" s="55">
        <v>12.2</v>
      </c>
      <c r="J125" s="55">
        <v>11.899999999999999</v>
      </c>
      <c r="K125" s="54"/>
      <c r="L125" s="56" t="b">
        <v>0</v>
      </c>
      <c r="M125" s="56" t="b">
        <v>0</v>
      </c>
      <c r="N125" s="54">
        <v>1</v>
      </c>
      <c r="O125" s="54" t="s">
        <v>228</v>
      </c>
      <c r="P125" s="54">
        <v>22</v>
      </c>
      <c r="Q125" s="54">
        <v>11</v>
      </c>
      <c r="R125" s="54">
        <v>95</v>
      </c>
      <c r="S125" s="54" t="s">
        <v>500</v>
      </c>
      <c r="T125" s="54"/>
      <c r="U125" s="54" t="s">
        <v>501</v>
      </c>
      <c r="V125" s="54" t="s">
        <v>502</v>
      </c>
      <c r="W125" s="54" t="b">
        <v>0</v>
      </c>
      <c r="X125" s="54"/>
      <c r="Y125" s="57" t="s">
        <v>2274</v>
      </c>
      <c r="Z125" s="54" t="s">
        <v>2263</v>
      </c>
      <c r="AA125" s="54"/>
      <c r="AB125" s="54" t="s">
        <v>504</v>
      </c>
      <c r="AC125" s="56" t="b">
        <v>1</v>
      </c>
      <c r="AD125" s="56" t="b">
        <v>0</v>
      </c>
      <c r="AE125" s="54" t="s">
        <v>303</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6.5587999999999994E-2</v>
      </c>
      <c r="BC125" s="60"/>
      <c r="BD125" s="61"/>
      <c r="BE125" s="62" t="s">
        <v>293</v>
      </c>
      <c r="BF125" s="35">
        <f t="shared" si="0"/>
        <v>4.9000000000000004</v>
      </c>
      <c r="BG125" s="35">
        <f t="shared" si="0"/>
        <v>5.1461E-2</v>
      </c>
      <c r="BH125" s="35" t="str">
        <f t="shared" si="158"/>
        <v>Low</v>
      </c>
      <c r="BI125" s="110">
        <f t="shared" si="159"/>
        <v>0</v>
      </c>
      <c r="BJ125" s="83">
        <f>VLOOKUP($F125,REP_Info!$D$6:$H$250,5,FALSE)</f>
        <v>1.8160000000000001</v>
      </c>
      <c r="BK125" s="30">
        <f t="shared" si="1"/>
        <v>12.684899999999999</v>
      </c>
      <c r="BL125" s="30">
        <f t="shared" si="1"/>
        <v>12.194900000000001</v>
      </c>
      <c r="BM125" s="30">
        <f t="shared" si="1"/>
        <v>11.9499</v>
      </c>
      <c r="BN125" s="29">
        <f t="shared" si="1"/>
        <v>11.868233333333334</v>
      </c>
      <c r="BO125" s="85" t="str">
        <f t="shared" si="2"/>
        <v>$$$</v>
      </c>
      <c r="BP125" s="88" t="str">
        <f t="shared" si="160"/>
        <v>$$$</v>
      </c>
      <c r="BQ125" s="88" t="str">
        <f t="shared" si="4"/>
        <v>$$$</v>
      </c>
      <c r="BR125" s="88" t="str">
        <f t="shared" si="5"/>
        <v>$$$</v>
      </c>
      <c r="BS125" s="29" t="e">
        <f t="shared" si="170"/>
        <v>#N/A</v>
      </c>
      <c r="BT125" s="29" t="e">
        <f t="shared" si="170"/>
        <v>#N/A</v>
      </c>
      <c r="BU125" s="29" t="e">
        <f t="shared" si="170"/>
        <v>#N/A</v>
      </c>
      <c r="BV125" s="29" t="e">
        <f t="shared" si="170"/>
        <v>#N/A</v>
      </c>
      <c r="BW125" s="29" t="e">
        <f t="shared" si="170"/>
        <v>#N/A</v>
      </c>
      <c r="BX125" s="29" t="e">
        <f t="shared" si="170"/>
        <v>#N/A</v>
      </c>
      <c r="BY125" s="29" t="e">
        <f t="shared" si="170"/>
        <v>#N/A</v>
      </c>
      <c r="BZ125" s="29" t="e">
        <f t="shared" si="170"/>
        <v>#N/A</v>
      </c>
      <c r="CA125" s="29" t="e">
        <f t="shared" si="170"/>
        <v>#N/A</v>
      </c>
      <c r="CB125" s="29" t="e">
        <f t="shared" si="170"/>
        <v>#N/A</v>
      </c>
      <c r="CC125" s="29" t="e">
        <f t="shared" si="170"/>
        <v>#N/A</v>
      </c>
      <c r="CD125" s="29" t="e">
        <f t="shared" si="170"/>
        <v>#N/A</v>
      </c>
      <c r="CE125" s="6" t="str">
        <f t="shared" si="167"/>
        <v/>
      </c>
      <c r="CF125" s="27" t="e">
        <f>IF(AND(CI125,NOT(AD125)),LOOKUP(CF$5,{0,750,1500},H125:J125),"")</f>
        <v>#N/A</v>
      </c>
      <c r="CG125" s="6" t="str">
        <f t="shared" si="168"/>
        <v/>
      </c>
      <c r="CH125" t="e">
        <f t="shared" si="161"/>
        <v>#N/A</v>
      </c>
      <c r="CI125" t="e">
        <f t="shared" si="162"/>
        <v>#N/A</v>
      </c>
      <c r="CJ125" s="6" t="e">
        <f t="shared" si="11"/>
        <v>#N/A</v>
      </c>
      <c r="CK125" s="6">
        <f t="shared" si="12"/>
        <v>1</v>
      </c>
      <c r="CL125" s="6">
        <f t="shared" si="26"/>
        <v>1</v>
      </c>
      <c r="CM125" s="6">
        <f t="shared" si="13"/>
        <v>1</v>
      </c>
      <c r="CN125" s="6">
        <f t="shared" si="14"/>
        <v>0</v>
      </c>
      <c r="CO125" s="6">
        <f t="shared" si="15"/>
        <v>1</v>
      </c>
      <c r="CP125" s="6">
        <f t="shared" si="16"/>
        <v>1</v>
      </c>
      <c r="CQ125" s="6">
        <f t="shared" si="163"/>
        <v>1</v>
      </c>
      <c r="CR125" s="81" t="str">
        <f t="shared" si="17"/>
        <v/>
      </c>
      <c r="CS125">
        <f t="shared" si="164"/>
        <v>1.6363636363636349</v>
      </c>
      <c r="CT125">
        <f t="shared" si="19"/>
        <v>95</v>
      </c>
      <c r="CU125" t="str">
        <f t="shared" si="29"/>
        <v/>
      </c>
      <c r="CV125" s="81">
        <f t="shared" si="165"/>
        <v>95</v>
      </c>
      <c r="CW125" s="81">
        <f>(CV125/25)^1.5*(Calculator!$BU$4/10000)*CW$5</f>
        <v>19.127114680457929</v>
      </c>
      <c r="CX125" t="str">
        <f t="shared" si="166"/>
        <v>$95</v>
      </c>
    </row>
    <row r="126" spans="2:102" x14ac:dyDescent="0.25">
      <c r="B126" s="115" t="s">
        <v>233</v>
      </c>
      <c r="C126" s="13">
        <v>46237.767361111109</v>
      </c>
      <c r="D126">
        <v>37206</v>
      </c>
      <c r="E126" s="54" t="s">
        <v>237</v>
      </c>
      <c r="F126" s="54" t="s">
        <v>499</v>
      </c>
      <c r="G126" s="54" t="s">
        <v>2273</v>
      </c>
      <c r="H126" s="55">
        <v>13.600000000000001</v>
      </c>
      <c r="I126" s="55">
        <v>13.200000000000001</v>
      </c>
      <c r="J126" s="55">
        <v>12.9</v>
      </c>
      <c r="K126" s="54"/>
      <c r="L126" s="56" t="b">
        <v>0</v>
      </c>
      <c r="M126" s="56" t="b">
        <v>0</v>
      </c>
      <c r="N126" s="54">
        <v>1</v>
      </c>
      <c r="O126" s="54" t="s">
        <v>228</v>
      </c>
      <c r="P126" s="54">
        <v>22</v>
      </c>
      <c r="Q126" s="54">
        <v>11</v>
      </c>
      <c r="R126" s="54">
        <v>95</v>
      </c>
      <c r="S126" s="54" t="s">
        <v>500</v>
      </c>
      <c r="T126" s="54"/>
      <c r="U126" s="54" t="s">
        <v>501</v>
      </c>
      <c r="V126" s="54" t="s">
        <v>502</v>
      </c>
      <c r="W126" s="54" t="b">
        <v>0</v>
      </c>
      <c r="X126" s="54"/>
      <c r="Y126" s="57" t="s">
        <v>2275</v>
      </c>
      <c r="Z126" s="54" t="s">
        <v>2263</v>
      </c>
      <c r="AA126" s="54"/>
      <c r="AB126" s="54" t="s">
        <v>504</v>
      </c>
      <c r="AC126" s="56" t="b">
        <v>1</v>
      </c>
      <c r="AD126" s="56" t="b">
        <v>0</v>
      </c>
      <c r="AE126" s="54" t="s">
        <v>303</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6.7173999999999998E-2</v>
      </c>
      <c r="BC126" s="60"/>
      <c r="BD126" s="61"/>
      <c r="BE126" s="62" t="s">
        <v>293</v>
      </c>
      <c r="BF126" s="35">
        <f t="shared" si="0"/>
        <v>4.0600000000000005</v>
      </c>
      <c r="BG126" s="35">
        <f t="shared" si="0"/>
        <v>6.0295000000000001E-2</v>
      </c>
      <c r="BH126" s="35" t="str">
        <f t="shared" si="158"/>
        <v>Low</v>
      </c>
      <c r="BI126" s="110">
        <f t="shared" si="159"/>
        <v>0</v>
      </c>
      <c r="BJ126" s="83">
        <f>VLOOKUP($F126,REP_Info!$D$6:$H$250,5,FALSE)</f>
        <v>1.8160000000000001</v>
      </c>
      <c r="BK126" s="30">
        <f t="shared" si="1"/>
        <v>13.5589</v>
      </c>
      <c r="BL126" s="30">
        <f t="shared" si="1"/>
        <v>13.152899999999999</v>
      </c>
      <c r="BM126" s="30">
        <f t="shared" si="1"/>
        <v>12.9499</v>
      </c>
      <c r="BN126" s="29">
        <f t="shared" si="1"/>
        <v>12.882233333333332</v>
      </c>
      <c r="BO126" s="85" t="str">
        <f t="shared" si="2"/>
        <v>$$$</v>
      </c>
      <c r="BP126" s="88" t="str">
        <f t="shared" si="160"/>
        <v>$$$</v>
      </c>
      <c r="BQ126" s="88" t="str">
        <f t="shared" si="4"/>
        <v>$$$</v>
      </c>
      <c r="BR126" s="88" t="str">
        <f t="shared" si="5"/>
        <v>$$$</v>
      </c>
      <c r="BS126" s="29" t="e">
        <f t="shared" si="170"/>
        <v>#N/A</v>
      </c>
      <c r="BT126" s="29" t="e">
        <f t="shared" si="170"/>
        <v>#N/A</v>
      </c>
      <c r="BU126" s="29" t="e">
        <f t="shared" si="170"/>
        <v>#N/A</v>
      </c>
      <c r="BV126" s="29" t="e">
        <f t="shared" si="170"/>
        <v>#N/A</v>
      </c>
      <c r="BW126" s="29" t="e">
        <f t="shared" si="170"/>
        <v>#N/A</v>
      </c>
      <c r="BX126" s="29" t="e">
        <f t="shared" si="170"/>
        <v>#N/A</v>
      </c>
      <c r="BY126" s="29" t="e">
        <f t="shared" si="170"/>
        <v>#N/A</v>
      </c>
      <c r="BZ126" s="29" t="e">
        <f t="shared" si="170"/>
        <v>#N/A</v>
      </c>
      <c r="CA126" s="29" t="e">
        <f t="shared" si="170"/>
        <v>#N/A</v>
      </c>
      <c r="CB126" s="29" t="e">
        <f t="shared" si="170"/>
        <v>#N/A</v>
      </c>
      <c r="CC126" s="29" t="e">
        <f t="shared" si="170"/>
        <v>#N/A</v>
      </c>
      <c r="CD126" s="29" t="e">
        <f t="shared" si="170"/>
        <v>#N/A</v>
      </c>
      <c r="CE126" s="6" t="str">
        <f t="shared" si="167"/>
        <v/>
      </c>
      <c r="CF126" s="27" t="e">
        <f>IF(AND(CI126,NOT(AD126)),LOOKUP(CF$5,{0,750,1500},H126:J126),"")</f>
        <v>#N/A</v>
      </c>
      <c r="CG126" s="6" t="str">
        <f t="shared" si="168"/>
        <v/>
      </c>
      <c r="CH126" t="e">
        <f t="shared" si="161"/>
        <v>#N/A</v>
      </c>
      <c r="CI126" t="e">
        <f t="shared" si="162"/>
        <v>#N/A</v>
      </c>
      <c r="CJ126" s="6" t="e">
        <f t="shared" si="11"/>
        <v>#N/A</v>
      </c>
      <c r="CK126" s="6">
        <f t="shared" si="12"/>
        <v>1</v>
      </c>
      <c r="CL126" s="6">
        <f t="shared" si="26"/>
        <v>1</v>
      </c>
      <c r="CM126" s="6">
        <f t="shared" si="13"/>
        <v>1</v>
      </c>
      <c r="CN126" s="6">
        <f t="shared" si="14"/>
        <v>0</v>
      </c>
      <c r="CO126" s="6">
        <f t="shared" si="15"/>
        <v>1</v>
      </c>
      <c r="CP126" s="6">
        <f t="shared" si="16"/>
        <v>1</v>
      </c>
      <c r="CQ126" s="6">
        <f t="shared" si="163"/>
        <v>1</v>
      </c>
      <c r="CR126" s="81" t="str">
        <f t="shared" si="17"/>
        <v/>
      </c>
      <c r="CS126">
        <f t="shared" si="164"/>
        <v>1.6363636363636349</v>
      </c>
      <c r="CT126">
        <f t="shared" si="19"/>
        <v>95</v>
      </c>
      <c r="CU126" t="str">
        <f t="shared" si="29"/>
        <v/>
      </c>
      <c r="CV126" s="81">
        <f t="shared" si="165"/>
        <v>95</v>
      </c>
      <c r="CW126" s="81">
        <f>(CV126/25)^1.5*(Calculator!$BU$4/10000)*CW$5</f>
        <v>19.127114680457929</v>
      </c>
      <c r="CX126" t="str">
        <f t="shared" si="166"/>
        <v>$95</v>
      </c>
    </row>
    <row r="127" spans="2:102" x14ac:dyDescent="0.25">
      <c r="B127" s="115" t="s">
        <v>233</v>
      </c>
      <c r="C127" s="13">
        <v>46237.767361111109</v>
      </c>
      <c r="D127">
        <v>34902</v>
      </c>
      <c r="E127" s="54" t="s">
        <v>235</v>
      </c>
      <c r="F127" s="54" t="s">
        <v>505</v>
      </c>
      <c r="G127" s="54" t="s">
        <v>506</v>
      </c>
      <c r="H127" s="55">
        <v>10.9</v>
      </c>
      <c r="I127" s="55">
        <v>10.9</v>
      </c>
      <c r="J127" s="55">
        <v>11</v>
      </c>
      <c r="K127" s="54"/>
      <c r="L127" s="56" t="b">
        <v>0</v>
      </c>
      <c r="M127" s="56" t="b">
        <v>0</v>
      </c>
      <c r="N127" s="54">
        <v>1</v>
      </c>
      <c r="O127" s="54" t="s">
        <v>228</v>
      </c>
      <c r="P127" s="54">
        <v>100</v>
      </c>
      <c r="Q127" s="54">
        <v>12</v>
      </c>
      <c r="R127" s="54" t="s">
        <v>507</v>
      </c>
      <c r="S127" s="54" t="s">
        <v>1719</v>
      </c>
      <c r="T127" s="54" t="s">
        <v>508</v>
      </c>
      <c r="U127" s="54" t="s">
        <v>509</v>
      </c>
      <c r="V127" s="54" t="s">
        <v>510</v>
      </c>
      <c r="W127" s="54" t="b">
        <v>0</v>
      </c>
      <c r="X127" s="54"/>
      <c r="Y127" s="57" t="s">
        <v>511</v>
      </c>
      <c r="Z127" s="54" t="s">
        <v>1720</v>
      </c>
      <c r="AA127" s="54"/>
      <c r="AB127" s="54" t="s">
        <v>512</v>
      </c>
      <c r="AC127" s="56" t="b">
        <v>0</v>
      </c>
      <c r="AD127" s="56" t="b">
        <v>0</v>
      </c>
      <c r="AE127" s="54" t="s">
        <v>303</v>
      </c>
      <c r="AF127" s="58">
        <v>46237</v>
      </c>
      <c r="AG127" s="62" t="s">
        <v>293</v>
      </c>
      <c r="AH127" s="54">
        <v>0</v>
      </c>
      <c r="AI127" s="54"/>
      <c r="AJ127" s="54"/>
      <c r="AK127" s="54"/>
      <c r="AL127" s="54"/>
      <c r="AM127" s="54">
        <v>-5</v>
      </c>
      <c r="AN127" s="54"/>
      <c r="AO127" s="54"/>
      <c r="AP127" s="54"/>
      <c r="AQ127" s="54"/>
      <c r="AR127" s="54"/>
      <c r="AS127" s="54"/>
      <c r="AT127" s="54"/>
      <c r="AU127" s="54"/>
      <c r="AV127" s="54"/>
      <c r="AW127" s="54"/>
      <c r="AX127" s="59"/>
      <c r="AY127" s="59"/>
      <c r="AZ127" s="59"/>
      <c r="BA127" s="59"/>
      <c r="BB127" s="59">
        <v>5.8130000000000001E-2</v>
      </c>
      <c r="BC127" s="60">
        <v>4.9000000000000004</v>
      </c>
      <c r="BD127" s="61">
        <v>5.1461E-2</v>
      </c>
      <c r="BE127" s="62" t="s">
        <v>293</v>
      </c>
      <c r="BF127" s="35">
        <f t="shared" si="0"/>
        <v>4.9000000000000004</v>
      </c>
      <c r="BG127" s="35">
        <f t="shared" si="0"/>
        <v>5.1461E-2</v>
      </c>
      <c r="BH127" s="35" t="str">
        <f t="shared" si="158"/>
        <v>Low</v>
      </c>
      <c r="BI127" s="110">
        <f t="shared" si="159"/>
        <v>0</v>
      </c>
      <c r="BJ127" s="83">
        <f>VLOOKUP($F127,REP_Info!$D$6:$H$250,5,FALSE)</f>
        <v>1.5649999999999999</v>
      </c>
      <c r="BK127" s="30">
        <f t="shared" si="1"/>
        <v>10.9391</v>
      </c>
      <c r="BL127" s="30">
        <f t="shared" si="1"/>
        <v>10.9491</v>
      </c>
      <c r="BM127" s="30">
        <f t="shared" si="1"/>
        <v>10.9541</v>
      </c>
      <c r="BN127" s="29">
        <f t="shared" si="1"/>
        <v>10.955766666666667</v>
      </c>
      <c r="BO127" s="85" t="str">
        <f t="shared" si="2"/>
        <v>$$$</v>
      </c>
      <c r="BP127" s="88" t="str">
        <f t="shared" si="160"/>
        <v>$$$</v>
      </c>
      <c r="BQ127" s="88" t="str">
        <f t="shared" si="4"/>
        <v>$$$</v>
      </c>
      <c r="BR127" s="88" t="str">
        <f t="shared" si="5"/>
        <v>$$$</v>
      </c>
      <c r="BS127" s="29" t="e">
        <f t="shared" si="170"/>
        <v>#N/A</v>
      </c>
      <c r="BT127" s="29" t="e">
        <f t="shared" si="170"/>
        <v>#N/A</v>
      </c>
      <c r="BU127" s="29" t="e">
        <f t="shared" si="170"/>
        <v>#N/A</v>
      </c>
      <c r="BV127" s="29" t="e">
        <f t="shared" si="170"/>
        <v>#N/A</v>
      </c>
      <c r="BW127" s="29" t="e">
        <f t="shared" si="170"/>
        <v>#N/A</v>
      </c>
      <c r="BX127" s="29" t="e">
        <f t="shared" si="170"/>
        <v>#N/A</v>
      </c>
      <c r="BY127" s="29" t="e">
        <f t="shared" si="170"/>
        <v>#N/A</v>
      </c>
      <c r="BZ127" s="29" t="e">
        <f t="shared" si="170"/>
        <v>#N/A</v>
      </c>
      <c r="CA127" s="29" t="e">
        <f t="shared" si="170"/>
        <v>#N/A</v>
      </c>
      <c r="CB127" s="29" t="e">
        <f t="shared" si="170"/>
        <v>#N/A</v>
      </c>
      <c r="CC127" s="29" t="e">
        <f t="shared" si="170"/>
        <v>#N/A</v>
      </c>
      <c r="CD127" s="29" t="e">
        <f t="shared" si="170"/>
        <v>#N/A</v>
      </c>
      <c r="CE127" s="6" t="str">
        <f t="shared" si="167"/>
        <v/>
      </c>
      <c r="CF127" s="27" t="e">
        <f>IF(AND(CI127,NOT(AD127)),LOOKUP(CF$5,{0,750,1500},H127:J127),"")</f>
        <v>#N/A</v>
      </c>
      <c r="CG127" s="6" t="str">
        <f t="shared" si="168"/>
        <v/>
      </c>
      <c r="CH127" t="e">
        <f t="shared" si="161"/>
        <v>#N/A</v>
      </c>
      <c r="CI127" t="e">
        <f t="shared" si="162"/>
        <v>#N/A</v>
      </c>
      <c r="CJ127" s="6" t="e">
        <f t="shared" si="11"/>
        <v>#N/A</v>
      </c>
      <c r="CK127" s="6">
        <f t="shared" si="12"/>
        <v>1</v>
      </c>
      <c r="CL127" s="6">
        <f t="shared" si="26"/>
        <v>1</v>
      </c>
      <c r="CM127" s="6">
        <f t="shared" si="13"/>
        <v>1</v>
      </c>
      <c r="CN127" s="6">
        <f t="shared" si="14"/>
        <v>1</v>
      </c>
      <c r="CO127" s="6">
        <f t="shared" si="15"/>
        <v>1</v>
      </c>
      <c r="CP127" s="6">
        <f t="shared" si="16"/>
        <v>1</v>
      </c>
      <c r="CQ127" s="6">
        <f t="shared" si="163"/>
        <v>1</v>
      </c>
      <c r="CR127" s="81" t="str">
        <f t="shared" si="17"/>
        <v/>
      </c>
      <c r="CS127">
        <f t="shared" si="164"/>
        <v>0</v>
      </c>
      <c r="CT127">
        <f t="shared" si="19"/>
        <v>20</v>
      </c>
      <c r="CU127" t="str">
        <f t="shared" si="29"/>
        <v>rm</v>
      </c>
      <c r="CV127" s="81">
        <f t="shared" si="165"/>
        <v>240</v>
      </c>
      <c r="CW127" s="81">
        <f>(CV127/25)^1.5*(Calculator!$BU$4/10000)*CW$5</f>
        <v>76.803483157572401</v>
      </c>
      <c r="CX127" t="str">
        <f t="shared" si="166"/>
        <v>$20/rm</v>
      </c>
    </row>
    <row r="128" spans="2:102" x14ac:dyDescent="0.25">
      <c r="B128" s="115" t="s">
        <v>233</v>
      </c>
      <c r="C128" s="13">
        <v>46237.767361111109</v>
      </c>
      <c r="D128">
        <v>34904</v>
      </c>
      <c r="E128" s="54" t="s">
        <v>237</v>
      </c>
      <c r="F128" s="54" t="s">
        <v>505</v>
      </c>
      <c r="G128" s="54" t="s">
        <v>506</v>
      </c>
      <c r="H128" s="55">
        <v>11.600000000000001</v>
      </c>
      <c r="I128" s="55">
        <v>11.600000000000001</v>
      </c>
      <c r="J128" s="55">
        <v>11.700000000000001</v>
      </c>
      <c r="K128" s="54"/>
      <c r="L128" s="56" t="b">
        <v>0</v>
      </c>
      <c r="M128" s="56" t="b">
        <v>0</v>
      </c>
      <c r="N128" s="54">
        <v>1</v>
      </c>
      <c r="O128" s="54" t="s">
        <v>228</v>
      </c>
      <c r="P128" s="54">
        <v>100</v>
      </c>
      <c r="Q128" s="54">
        <v>12</v>
      </c>
      <c r="R128" s="54" t="s">
        <v>507</v>
      </c>
      <c r="S128" s="54" t="s">
        <v>1719</v>
      </c>
      <c r="T128" s="54" t="s">
        <v>508</v>
      </c>
      <c r="U128" s="54" t="s">
        <v>509</v>
      </c>
      <c r="V128" s="54" t="s">
        <v>510</v>
      </c>
      <c r="W128" s="54" t="b">
        <v>0</v>
      </c>
      <c r="X128" s="54"/>
      <c r="Y128" s="57" t="s">
        <v>513</v>
      </c>
      <c r="Z128" s="54" t="s">
        <v>1721</v>
      </c>
      <c r="AA128" s="54"/>
      <c r="AB128" s="54" t="s">
        <v>512</v>
      </c>
      <c r="AC128" s="56" t="b">
        <v>0</v>
      </c>
      <c r="AD128" s="56" t="b">
        <v>0</v>
      </c>
      <c r="AE128" s="54" t="s">
        <v>303</v>
      </c>
      <c r="AF128" s="58">
        <v>46237</v>
      </c>
      <c r="AG128" s="62" t="s">
        <v>293</v>
      </c>
      <c r="AH128" s="54">
        <v>0</v>
      </c>
      <c r="AI128" s="54"/>
      <c r="AJ128" s="54"/>
      <c r="AK128" s="54"/>
      <c r="AL128" s="54"/>
      <c r="AM128" s="54">
        <v>-5</v>
      </c>
      <c r="AN128" s="54"/>
      <c r="AO128" s="54"/>
      <c r="AP128" s="54"/>
      <c r="AQ128" s="54"/>
      <c r="AR128" s="54"/>
      <c r="AS128" s="54"/>
      <c r="AT128" s="54"/>
      <c r="AU128" s="54"/>
      <c r="AV128" s="54"/>
      <c r="AW128" s="54"/>
      <c r="AX128" s="59"/>
      <c r="AY128" s="59"/>
      <c r="AZ128" s="59"/>
      <c r="BA128" s="59"/>
      <c r="BB128" s="59">
        <v>5.7140000000000003E-2</v>
      </c>
      <c r="BC128" s="60">
        <v>4.0599999999999996</v>
      </c>
      <c r="BD128" s="61">
        <v>6.0295000000000001E-2</v>
      </c>
      <c r="BE128" s="62" t="s">
        <v>293</v>
      </c>
      <c r="BF128" s="35">
        <f t="shared" si="0"/>
        <v>4.0600000000000005</v>
      </c>
      <c r="BG128" s="35">
        <f t="shared" si="0"/>
        <v>6.0295000000000001E-2</v>
      </c>
      <c r="BH128" s="35" t="str">
        <f t="shared" si="158"/>
        <v>Low</v>
      </c>
      <c r="BI128" s="110">
        <f t="shared" si="159"/>
        <v>0</v>
      </c>
      <c r="BJ128" s="83">
        <f>VLOOKUP($F128,REP_Info!$D$6:$H$250,5,FALSE)</f>
        <v>1.5649999999999999</v>
      </c>
      <c r="BK128" s="30">
        <f t="shared" si="1"/>
        <v>11.5555</v>
      </c>
      <c r="BL128" s="30">
        <f t="shared" si="1"/>
        <v>11.6495</v>
      </c>
      <c r="BM128" s="30">
        <f t="shared" si="1"/>
        <v>11.6965</v>
      </c>
      <c r="BN128" s="29">
        <f t="shared" si="1"/>
        <v>11.712166666666667</v>
      </c>
      <c r="BO128" s="85" t="str">
        <f t="shared" si="2"/>
        <v>$$$</v>
      </c>
      <c r="BP128" s="88" t="str">
        <f t="shared" si="160"/>
        <v>$$$</v>
      </c>
      <c r="BQ128" s="88" t="str">
        <f t="shared" si="4"/>
        <v>$$$</v>
      </c>
      <c r="BR128" s="88" t="str">
        <f t="shared" si="5"/>
        <v>$$$</v>
      </c>
      <c r="BS128" s="29" t="e">
        <f t="shared" si="170"/>
        <v>#N/A</v>
      </c>
      <c r="BT128" s="29" t="e">
        <f t="shared" si="170"/>
        <v>#N/A</v>
      </c>
      <c r="BU128" s="29" t="e">
        <f t="shared" si="170"/>
        <v>#N/A</v>
      </c>
      <c r="BV128" s="29" t="e">
        <f t="shared" si="170"/>
        <v>#N/A</v>
      </c>
      <c r="BW128" s="29" t="e">
        <f t="shared" si="170"/>
        <v>#N/A</v>
      </c>
      <c r="BX128" s="29" t="e">
        <f t="shared" si="170"/>
        <v>#N/A</v>
      </c>
      <c r="BY128" s="29" t="e">
        <f t="shared" si="170"/>
        <v>#N/A</v>
      </c>
      <c r="BZ128" s="29" t="e">
        <f t="shared" si="170"/>
        <v>#N/A</v>
      </c>
      <c r="CA128" s="29" t="e">
        <f t="shared" si="170"/>
        <v>#N/A</v>
      </c>
      <c r="CB128" s="29" t="e">
        <f t="shared" si="170"/>
        <v>#N/A</v>
      </c>
      <c r="CC128" s="29" t="e">
        <f t="shared" si="170"/>
        <v>#N/A</v>
      </c>
      <c r="CD128" s="29" t="e">
        <f t="shared" si="170"/>
        <v>#N/A</v>
      </c>
      <c r="CE128" s="6" t="str">
        <f t="shared" si="167"/>
        <v/>
      </c>
      <c r="CF128" s="27" t="e">
        <f>IF(AND(CI128,NOT(AD128)),LOOKUP(CF$5,{0,750,1500},H128:J128),"")</f>
        <v>#N/A</v>
      </c>
      <c r="CG128" s="6" t="str">
        <f t="shared" si="168"/>
        <v/>
      </c>
      <c r="CH128" t="e">
        <f t="shared" si="161"/>
        <v>#N/A</v>
      </c>
      <c r="CI128" t="e">
        <f t="shared" si="162"/>
        <v>#N/A</v>
      </c>
      <c r="CJ128" s="6" t="e">
        <f t="shared" si="11"/>
        <v>#N/A</v>
      </c>
      <c r="CK128" s="6">
        <f t="shared" si="12"/>
        <v>1</v>
      </c>
      <c r="CL128" s="6">
        <f t="shared" si="26"/>
        <v>1</v>
      </c>
      <c r="CM128" s="6">
        <f t="shared" si="13"/>
        <v>1</v>
      </c>
      <c r="CN128" s="6">
        <f t="shared" si="14"/>
        <v>1</v>
      </c>
      <c r="CO128" s="6">
        <f t="shared" si="15"/>
        <v>1</v>
      </c>
      <c r="CP128" s="6">
        <f t="shared" si="16"/>
        <v>1</v>
      </c>
      <c r="CQ128" s="6">
        <f t="shared" si="163"/>
        <v>1</v>
      </c>
      <c r="CR128" s="81" t="str">
        <f t="shared" si="17"/>
        <v/>
      </c>
      <c r="CS128">
        <f t="shared" si="164"/>
        <v>0</v>
      </c>
      <c r="CT128">
        <f t="shared" si="19"/>
        <v>20</v>
      </c>
      <c r="CU128" t="str">
        <f t="shared" si="29"/>
        <v>rm</v>
      </c>
      <c r="CV128" s="81">
        <f t="shared" si="165"/>
        <v>240</v>
      </c>
      <c r="CW128" s="81">
        <f>(CV128/25)^1.5*(Calculator!$BU$4/10000)*CW$5</f>
        <v>76.803483157572401</v>
      </c>
      <c r="CX128" t="str">
        <f t="shared" si="166"/>
        <v>$20/rm</v>
      </c>
    </row>
    <row r="129" spans="2:102" x14ac:dyDescent="0.25">
      <c r="B129" s="115" t="s">
        <v>233</v>
      </c>
      <c r="C129" s="13">
        <v>46236.341666666667</v>
      </c>
      <c r="D129">
        <v>34912</v>
      </c>
      <c r="E129" s="54" t="s">
        <v>235</v>
      </c>
      <c r="F129" s="54" t="s">
        <v>505</v>
      </c>
      <c r="G129" s="54" t="s">
        <v>514</v>
      </c>
      <c r="H129" s="55">
        <v>12.3</v>
      </c>
      <c r="I129" s="55">
        <v>12.3</v>
      </c>
      <c r="J129" s="55">
        <v>12.4</v>
      </c>
      <c r="K129" s="54"/>
      <c r="L129" s="56" t="b">
        <v>0</v>
      </c>
      <c r="M129" s="56" t="b">
        <v>0</v>
      </c>
      <c r="N129" s="54">
        <v>1</v>
      </c>
      <c r="O129" s="54" t="s">
        <v>228</v>
      </c>
      <c r="P129" s="54">
        <v>100</v>
      </c>
      <c r="Q129" s="54">
        <v>24</v>
      </c>
      <c r="R129" s="54" t="s">
        <v>507</v>
      </c>
      <c r="S129" s="54" t="s">
        <v>1719</v>
      </c>
      <c r="T129" s="54" t="s">
        <v>508</v>
      </c>
      <c r="U129" s="54" t="s">
        <v>509</v>
      </c>
      <c r="V129" s="54" t="s">
        <v>510</v>
      </c>
      <c r="W129" s="54" t="b">
        <v>0</v>
      </c>
      <c r="X129" s="54"/>
      <c r="Y129" s="57" t="s">
        <v>515</v>
      </c>
      <c r="Z129" s="54" t="s">
        <v>1722</v>
      </c>
      <c r="AA129" s="54"/>
      <c r="AB129" s="54" t="s">
        <v>512</v>
      </c>
      <c r="AC129" s="56" t="b">
        <v>0</v>
      </c>
      <c r="AD129" s="56" t="b">
        <v>0</v>
      </c>
      <c r="AE129" s="54" t="s">
        <v>303</v>
      </c>
      <c r="AF129" s="58">
        <v>46234</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7.213E-2</v>
      </c>
      <c r="BC129" s="60">
        <v>4.9000000000000004</v>
      </c>
      <c r="BD129" s="61">
        <v>5.1461E-2</v>
      </c>
      <c r="BE129" s="62" t="s">
        <v>293</v>
      </c>
      <c r="BF129" s="35">
        <f t="shared" si="0"/>
        <v>4.9000000000000004</v>
      </c>
      <c r="BG129" s="35">
        <f t="shared" si="0"/>
        <v>5.1461E-2</v>
      </c>
      <c r="BH129" s="35" t="str">
        <f t="shared" si="158"/>
        <v>Low</v>
      </c>
      <c r="BI129" s="110">
        <f t="shared" si="159"/>
        <v>0</v>
      </c>
      <c r="BJ129" s="83">
        <f>VLOOKUP($F129,REP_Info!$D$6:$H$250,5,FALSE)</f>
        <v>1.5649999999999999</v>
      </c>
      <c r="BK129" s="30">
        <f t="shared" si="1"/>
        <v>12.339099999999998</v>
      </c>
      <c r="BL129" s="30">
        <f t="shared" si="1"/>
        <v>12.3491</v>
      </c>
      <c r="BM129" s="30">
        <f t="shared" si="1"/>
        <v>12.354100000000001</v>
      </c>
      <c r="BN129" s="29">
        <f t="shared" si="1"/>
        <v>12.355766666666668</v>
      </c>
      <c r="BO129" s="85" t="str">
        <f t="shared" si="2"/>
        <v>$$$</v>
      </c>
      <c r="BP129" s="88" t="str">
        <f t="shared" si="160"/>
        <v>$$$</v>
      </c>
      <c r="BQ129" s="88" t="str">
        <f t="shared" si="4"/>
        <v>$$$</v>
      </c>
      <c r="BR129" s="88" t="str">
        <f t="shared" si="5"/>
        <v>$$$</v>
      </c>
      <c r="BS129" s="29" t="e">
        <f t="shared" si="170"/>
        <v>#N/A</v>
      </c>
      <c r="BT129" s="29" t="e">
        <f t="shared" si="170"/>
        <v>#N/A</v>
      </c>
      <c r="BU129" s="29" t="e">
        <f t="shared" si="170"/>
        <v>#N/A</v>
      </c>
      <c r="BV129" s="29" t="e">
        <f t="shared" si="170"/>
        <v>#N/A</v>
      </c>
      <c r="BW129" s="29" t="e">
        <f t="shared" si="170"/>
        <v>#N/A</v>
      </c>
      <c r="BX129" s="29" t="e">
        <f t="shared" si="170"/>
        <v>#N/A</v>
      </c>
      <c r="BY129" s="29" t="e">
        <f t="shared" si="170"/>
        <v>#N/A</v>
      </c>
      <c r="BZ129" s="29" t="e">
        <f t="shared" si="170"/>
        <v>#N/A</v>
      </c>
      <c r="CA129" s="29" t="e">
        <f t="shared" si="170"/>
        <v>#N/A</v>
      </c>
      <c r="CB129" s="29" t="e">
        <f t="shared" si="170"/>
        <v>#N/A</v>
      </c>
      <c r="CC129" s="29" t="e">
        <f t="shared" si="170"/>
        <v>#N/A</v>
      </c>
      <c r="CD129" s="29" t="e">
        <f t="shared" si="170"/>
        <v>#N/A</v>
      </c>
      <c r="CE129" s="6" t="str">
        <f t="shared" si="167"/>
        <v/>
      </c>
      <c r="CF129" s="27" t="e">
        <f>IF(AND(CI129,NOT(AD129)),LOOKUP(CF$5,{0,750,1500},H129:J129),"")</f>
        <v>#N/A</v>
      </c>
      <c r="CG129" s="6" t="str">
        <f t="shared" si="168"/>
        <v/>
      </c>
      <c r="CH129" t="e">
        <f t="shared" si="161"/>
        <v>#N/A</v>
      </c>
      <c r="CI129" t="e">
        <f t="shared" si="162"/>
        <v>#N/A</v>
      </c>
      <c r="CJ129" s="6" t="e">
        <f t="shared" si="11"/>
        <v>#N/A</v>
      </c>
      <c r="CK129" s="6">
        <f t="shared" si="12"/>
        <v>1</v>
      </c>
      <c r="CL129" s="6">
        <f t="shared" si="26"/>
        <v>1</v>
      </c>
      <c r="CM129" s="6">
        <f t="shared" si="13"/>
        <v>1</v>
      </c>
      <c r="CN129" s="6">
        <f t="shared" si="14"/>
        <v>1</v>
      </c>
      <c r="CO129" s="6">
        <f t="shared" si="15"/>
        <v>0</v>
      </c>
      <c r="CP129" s="6">
        <f t="shared" si="16"/>
        <v>1</v>
      </c>
      <c r="CQ129" s="6">
        <f t="shared" si="163"/>
        <v>1</v>
      </c>
      <c r="CR129" s="81" t="str">
        <f t="shared" si="17"/>
        <v/>
      </c>
      <c r="CS129">
        <f t="shared" si="164"/>
        <v>0</v>
      </c>
      <c r="CT129">
        <f t="shared" si="19"/>
        <v>20</v>
      </c>
      <c r="CU129" t="str">
        <f t="shared" si="29"/>
        <v>rm</v>
      </c>
      <c r="CV129" s="81">
        <f t="shared" si="165"/>
        <v>480</v>
      </c>
      <c r="CW129" s="81">
        <f>(CV129/25)^1.5*(Calculator!$BU$4/10000)*CW$5</f>
        <v>217.23305503786497</v>
      </c>
      <c r="CX129" t="str">
        <f t="shared" si="166"/>
        <v>$20/rm</v>
      </c>
    </row>
    <row r="130" spans="2:102" x14ac:dyDescent="0.25">
      <c r="B130" s="115" t="s">
        <v>233</v>
      </c>
      <c r="C130" s="13">
        <v>46237.767361111109</v>
      </c>
      <c r="D130">
        <v>34914</v>
      </c>
      <c r="E130" s="54" t="s">
        <v>237</v>
      </c>
      <c r="F130" s="54" t="s">
        <v>505</v>
      </c>
      <c r="G130" s="54" t="s">
        <v>514</v>
      </c>
      <c r="H130" s="55">
        <v>13.3</v>
      </c>
      <c r="I130" s="55">
        <v>13.4</v>
      </c>
      <c r="J130" s="55">
        <v>13.4</v>
      </c>
      <c r="K130" s="54"/>
      <c r="L130" s="56" t="b">
        <v>0</v>
      </c>
      <c r="M130" s="56" t="b">
        <v>0</v>
      </c>
      <c r="N130" s="54">
        <v>1</v>
      </c>
      <c r="O130" s="54" t="s">
        <v>228</v>
      </c>
      <c r="P130" s="54">
        <v>100</v>
      </c>
      <c r="Q130" s="54">
        <v>24</v>
      </c>
      <c r="R130" s="54" t="s">
        <v>507</v>
      </c>
      <c r="S130" s="54" t="s">
        <v>1719</v>
      </c>
      <c r="T130" s="54" t="s">
        <v>508</v>
      </c>
      <c r="U130" s="54" t="s">
        <v>509</v>
      </c>
      <c r="V130" s="54" t="s">
        <v>510</v>
      </c>
      <c r="W130" s="54" t="b">
        <v>0</v>
      </c>
      <c r="X130" s="54"/>
      <c r="Y130" s="57" t="s">
        <v>516</v>
      </c>
      <c r="Z130" s="54" t="s">
        <v>1723</v>
      </c>
      <c r="AA130" s="54"/>
      <c r="AB130" s="54" t="s">
        <v>512</v>
      </c>
      <c r="AC130" s="56" t="b">
        <v>0</v>
      </c>
      <c r="AD130" s="56" t="b">
        <v>0</v>
      </c>
      <c r="AE130" s="54" t="s">
        <v>303</v>
      </c>
      <c r="AF130" s="58">
        <v>46237</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7.424E-2</v>
      </c>
      <c r="BC130" s="60">
        <v>4.0599999999999996</v>
      </c>
      <c r="BD130" s="61">
        <v>6.0295000000000001E-2</v>
      </c>
      <c r="BE130" s="62" t="s">
        <v>293</v>
      </c>
      <c r="BF130" s="35">
        <f t="shared" si="0"/>
        <v>4.0600000000000005</v>
      </c>
      <c r="BG130" s="35">
        <f t="shared" si="0"/>
        <v>6.0295000000000001E-2</v>
      </c>
      <c r="BH130" s="35" t="str">
        <f t="shared" si="158"/>
        <v>Low</v>
      </c>
      <c r="BI130" s="110">
        <f t="shared" si="159"/>
        <v>0</v>
      </c>
      <c r="BJ130" s="83">
        <f>VLOOKUP($F130,REP_Info!$D$6:$H$250,5,FALSE)</f>
        <v>1.5649999999999999</v>
      </c>
      <c r="BK130" s="30">
        <f t="shared" si="1"/>
        <v>13.265499999999999</v>
      </c>
      <c r="BL130" s="30">
        <f t="shared" si="1"/>
        <v>13.359500000000001</v>
      </c>
      <c r="BM130" s="30">
        <f t="shared" si="1"/>
        <v>13.406499999999999</v>
      </c>
      <c r="BN130" s="29">
        <f t="shared" si="1"/>
        <v>13.422166666666667</v>
      </c>
      <c r="BO130" s="85" t="str">
        <f t="shared" si="2"/>
        <v>$$$</v>
      </c>
      <c r="BP130" s="88" t="str">
        <f t="shared" si="160"/>
        <v>$$$</v>
      </c>
      <c r="BQ130" s="88" t="str">
        <f t="shared" si="4"/>
        <v>$$$</v>
      </c>
      <c r="BR130" s="88" t="str">
        <f t="shared" si="5"/>
        <v>$$$</v>
      </c>
      <c r="BS130" s="29" t="e">
        <f t="shared" si="170"/>
        <v>#N/A</v>
      </c>
      <c r="BT130" s="29" t="e">
        <f t="shared" si="170"/>
        <v>#N/A</v>
      </c>
      <c r="BU130" s="29" t="e">
        <f t="shared" si="170"/>
        <v>#N/A</v>
      </c>
      <c r="BV130" s="29" t="e">
        <f t="shared" si="170"/>
        <v>#N/A</v>
      </c>
      <c r="BW130" s="29" t="e">
        <f t="shared" si="170"/>
        <v>#N/A</v>
      </c>
      <c r="BX130" s="29" t="e">
        <f t="shared" si="170"/>
        <v>#N/A</v>
      </c>
      <c r="BY130" s="29" t="e">
        <f t="shared" si="170"/>
        <v>#N/A</v>
      </c>
      <c r="BZ130" s="29" t="e">
        <f t="shared" si="170"/>
        <v>#N/A</v>
      </c>
      <c r="CA130" s="29" t="e">
        <f t="shared" si="170"/>
        <v>#N/A</v>
      </c>
      <c r="CB130" s="29" t="e">
        <f t="shared" si="170"/>
        <v>#N/A</v>
      </c>
      <c r="CC130" s="29" t="e">
        <f t="shared" si="170"/>
        <v>#N/A</v>
      </c>
      <c r="CD130" s="29" t="e">
        <f t="shared" si="170"/>
        <v>#N/A</v>
      </c>
      <c r="CE130" s="6" t="str">
        <f t="shared" si="167"/>
        <v/>
      </c>
      <c r="CF130" s="27" t="e">
        <f>IF(AND(CI130,NOT(AD130)),LOOKUP(CF$5,{0,750,1500},H130:J130),"")</f>
        <v>#N/A</v>
      </c>
      <c r="CG130" s="6" t="str">
        <f t="shared" si="168"/>
        <v/>
      </c>
      <c r="CH130" t="e">
        <f t="shared" si="161"/>
        <v>#N/A</v>
      </c>
      <c r="CI130" t="e">
        <f t="shared" si="162"/>
        <v>#N/A</v>
      </c>
      <c r="CJ130" s="6" t="e">
        <f t="shared" si="11"/>
        <v>#N/A</v>
      </c>
      <c r="CK130" s="6">
        <f t="shared" si="12"/>
        <v>1</v>
      </c>
      <c r="CL130" s="6">
        <f t="shared" si="26"/>
        <v>1</v>
      </c>
      <c r="CM130" s="6">
        <f t="shared" si="13"/>
        <v>1</v>
      </c>
      <c r="CN130" s="6">
        <f t="shared" si="14"/>
        <v>1</v>
      </c>
      <c r="CO130" s="6">
        <f t="shared" si="15"/>
        <v>0</v>
      </c>
      <c r="CP130" s="6">
        <f t="shared" si="16"/>
        <v>1</v>
      </c>
      <c r="CQ130" s="6">
        <f t="shared" si="163"/>
        <v>1</v>
      </c>
      <c r="CR130" s="81" t="str">
        <f t="shared" si="17"/>
        <v/>
      </c>
      <c r="CS130">
        <f t="shared" si="164"/>
        <v>0</v>
      </c>
      <c r="CT130">
        <f t="shared" si="19"/>
        <v>20</v>
      </c>
      <c r="CU130" t="str">
        <f t="shared" si="29"/>
        <v>rm</v>
      </c>
      <c r="CV130" s="81">
        <f t="shared" si="165"/>
        <v>480</v>
      </c>
      <c r="CW130" s="81">
        <f>(CV130/25)^1.5*(Calculator!$BU$4/10000)*CW$5</f>
        <v>217.23305503786497</v>
      </c>
      <c r="CX130" t="str">
        <f t="shared" si="166"/>
        <v>$20/rm</v>
      </c>
    </row>
    <row r="131" spans="2:102" x14ac:dyDescent="0.25">
      <c r="B131" s="115" t="s">
        <v>233</v>
      </c>
      <c r="C131" s="13">
        <v>46236.341666666667</v>
      </c>
      <c r="D131">
        <v>34922</v>
      </c>
      <c r="E131" s="54" t="s">
        <v>235</v>
      </c>
      <c r="F131" s="54" t="s">
        <v>505</v>
      </c>
      <c r="G131" s="54" t="s">
        <v>517</v>
      </c>
      <c r="H131" s="55">
        <v>12.7</v>
      </c>
      <c r="I131" s="55">
        <v>12.7</v>
      </c>
      <c r="J131" s="55">
        <v>12.8</v>
      </c>
      <c r="K131" s="54"/>
      <c r="L131" s="56" t="b">
        <v>0</v>
      </c>
      <c r="M131" s="56" t="b">
        <v>0</v>
      </c>
      <c r="N131" s="54">
        <v>1</v>
      </c>
      <c r="O131" s="54" t="s">
        <v>228</v>
      </c>
      <c r="P131" s="54">
        <v>100</v>
      </c>
      <c r="Q131" s="54">
        <v>36</v>
      </c>
      <c r="R131" s="54" t="s">
        <v>507</v>
      </c>
      <c r="S131" s="54" t="s">
        <v>1719</v>
      </c>
      <c r="T131" s="54" t="s">
        <v>508</v>
      </c>
      <c r="U131" s="54" t="s">
        <v>509</v>
      </c>
      <c r="V131" s="54" t="s">
        <v>510</v>
      </c>
      <c r="W131" s="54" t="b">
        <v>0</v>
      </c>
      <c r="X131" s="54"/>
      <c r="Y131" s="57" t="s">
        <v>518</v>
      </c>
      <c r="Z131" s="54" t="s">
        <v>1724</v>
      </c>
      <c r="AA131" s="54"/>
      <c r="AB131" s="54" t="s">
        <v>512</v>
      </c>
      <c r="AC131" s="56" t="b">
        <v>0</v>
      </c>
      <c r="AD131" s="56" t="b">
        <v>0</v>
      </c>
      <c r="AE131" s="54" t="s">
        <v>303</v>
      </c>
      <c r="AF131" s="58">
        <v>46234</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7.6130000000000003E-2</v>
      </c>
      <c r="BC131" s="60">
        <v>4.9000000000000004</v>
      </c>
      <c r="BD131" s="61">
        <v>5.1461E-2</v>
      </c>
      <c r="BE131" s="62" t="s">
        <v>293</v>
      </c>
      <c r="BF131" s="35">
        <f t="shared" si="0"/>
        <v>4.9000000000000004</v>
      </c>
      <c r="BG131" s="35">
        <f t="shared" si="0"/>
        <v>5.1461E-2</v>
      </c>
      <c r="BH131" s="35" t="str">
        <f t="shared" si="158"/>
        <v>Low</v>
      </c>
      <c r="BI131" s="110">
        <f t="shared" si="159"/>
        <v>0</v>
      </c>
      <c r="BJ131" s="83">
        <f>VLOOKUP($F131,REP_Info!$D$6:$H$250,5,FALSE)</f>
        <v>1.5649999999999999</v>
      </c>
      <c r="BK131" s="30">
        <f t="shared" si="1"/>
        <v>12.739100000000001</v>
      </c>
      <c r="BL131" s="30">
        <f t="shared" si="1"/>
        <v>12.749100000000002</v>
      </c>
      <c r="BM131" s="30">
        <f t="shared" si="1"/>
        <v>12.754100000000001</v>
      </c>
      <c r="BN131" s="29">
        <f t="shared" si="1"/>
        <v>12.755766666666668</v>
      </c>
      <c r="BO131" s="85" t="str">
        <f t="shared" si="2"/>
        <v>$$$</v>
      </c>
      <c r="BP131" s="88" t="str">
        <f t="shared" si="160"/>
        <v>$$$</v>
      </c>
      <c r="BQ131" s="88" t="str">
        <f t="shared" si="4"/>
        <v>$$$</v>
      </c>
      <c r="BR131" s="88" t="str">
        <f t="shared" si="5"/>
        <v>$$$</v>
      </c>
      <c r="BS131" s="29" t="e">
        <f t="shared" si="170"/>
        <v>#N/A</v>
      </c>
      <c r="BT131" s="29" t="e">
        <f t="shared" si="170"/>
        <v>#N/A</v>
      </c>
      <c r="BU131" s="29" t="e">
        <f t="shared" si="170"/>
        <v>#N/A</v>
      </c>
      <c r="BV131" s="29" t="e">
        <f t="shared" si="170"/>
        <v>#N/A</v>
      </c>
      <c r="BW131" s="29" t="e">
        <f t="shared" si="170"/>
        <v>#N/A</v>
      </c>
      <c r="BX131" s="29" t="e">
        <f t="shared" si="170"/>
        <v>#N/A</v>
      </c>
      <c r="BY131" s="29" t="e">
        <f t="shared" si="170"/>
        <v>#N/A</v>
      </c>
      <c r="BZ131" s="29" t="e">
        <f t="shared" si="170"/>
        <v>#N/A</v>
      </c>
      <c r="CA131" s="29" t="e">
        <f t="shared" si="170"/>
        <v>#N/A</v>
      </c>
      <c r="CB131" s="29" t="e">
        <f t="shared" si="170"/>
        <v>#N/A</v>
      </c>
      <c r="CC131" s="29" t="e">
        <f t="shared" si="170"/>
        <v>#N/A</v>
      </c>
      <c r="CD131" s="29" t="e">
        <f t="shared" si="170"/>
        <v>#N/A</v>
      </c>
      <c r="CE131" s="6" t="str">
        <f t="shared" si="167"/>
        <v/>
      </c>
      <c r="CF131" s="27" t="e">
        <f>IF(AND(CI131,NOT(AD131)),LOOKUP(CF$5,{0,750,1500},H131:J131),"")</f>
        <v>#N/A</v>
      </c>
      <c r="CG131" s="6" t="str">
        <f t="shared" si="168"/>
        <v/>
      </c>
      <c r="CH131" t="e">
        <f t="shared" si="161"/>
        <v>#N/A</v>
      </c>
      <c r="CI131" t="e">
        <f t="shared" si="162"/>
        <v>#N/A</v>
      </c>
      <c r="CJ131" s="6" t="e">
        <f t="shared" si="11"/>
        <v>#N/A</v>
      </c>
      <c r="CK131" s="6">
        <f t="shared" si="12"/>
        <v>1</v>
      </c>
      <c r="CL131" s="6">
        <f t="shared" si="26"/>
        <v>1</v>
      </c>
      <c r="CM131" s="6">
        <f t="shared" si="13"/>
        <v>1</v>
      </c>
      <c r="CN131" s="6">
        <f t="shared" si="14"/>
        <v>1</v>
      </c>
      <c r="CO131" s="6">
        <f t="shared" si="15"/>
        <v>0</v>
      </c>
      <c r="CP131" s="6">
        <f t="shared" si="16"/>
        <v>1</v>
      </c>
      <c r="CQ131" s="6">
        <f t="shared" si="163"/>
        <v>1</v>
      </c>
      <c r="CR131" s="81" t="str">
        <f t="shared" si="17"/>
        <v/>
      </c>
      <c r="CS131">
        <f t="shared" si="164"/>
        <v>0</v>
      </c>
      <c r="CT131">
        <f t="shared" si="19"/>
        <v>20</v>
      </c>
      <c r="CU131" t="str">
        <f t="shared" si="29"/>
        <v>rm</v>
      </c>
      <c r="CV131" s="81">
        <f t="shared" si="165"/>
        <v>720</v>
      </c>
      <c r="CW131" s="81">
        <f>(CV131/25)^1.5*(Calculator!$BU$4/10000)*CW$5</f>
        <v>399.08260508152779</v>
      </c>
      <c r="CX131" t="str">
        <f t="shared" si="166"/>
        <v>$20/rm</v>
      </c>
    </row>
    <row r="132" spans="2:102" x14ac:dyDescent="0.25">
      <c r="B132" s="115" t="s">
        <v>233</v>
      </c>
      <c r="C132" s="13">
        <v>46237.767361111109</v>
      </c>
      <c r="D132">
        <v>34924</v>
      </c>
      <c r="E132" s="54" t="s">
        <v>237</v>
      </c>
      <c r="F132" s="54" t="s">
        <v>505</v>
      </c>
      <c r="G132" s="54" t="s">
        <v>517</v>
      </c>
      <c r="H132" s="55">
        <v>13.600000000000001</v>
      </c>
      <c r="I132" s="55">
        <v>13.700000000000001</v>
      </c>
      <c r="J132" s="55">
        <v>13.700000000000001</v>
      </c>
      <c r="K132" s="54"/>
      <c r="L132" s="56" t="b">
        <v>0</v>
      </c>
      <c r="M132" s="56" t="b">
        <v>0</v>
      </c>
      <c r="N132" s="54">
        <v>1</v>
      </c>
      <c r="O132" s="54" t="s">
        <v>228</v>
      </c>
      <c r="P132" s="54">
        <v>100</v>
      </c>
      <c r="Q132" s="54">
        <v>36</v>
      </c>
      <c r="R132" s="54" t="s">
        <v>507</v>
      </c>
      <c r="S132" s="54" t="s">
        <v>1719</v>
      </c>
      <c r="T132" s="54" t="s">
        <v>508</v>
      </c>
      <c r="U132" s="54" t="s">
        <v>509</v>
      </c>
      <c r="V132" s="54" t="s">
        <v>510</v>
      </c>
      <c r="W132" s="54" t="b">
        <v>0</v>
      </c>
      <c r="X132" s="54"/>
      <c r="Y132" s="57" t="s">
        <v>519</v>
      </c>
      <c r="Z132" s="54" t="s">
        <v>1725</v>
      </c>
      <c r="AA132" s="54"/>
      <c r="AB132" s="54" t="s">
        <v>512</v>
      </c>
      <c r="AC132" s="56" t="b">
        <v>0</v>
      </c>
      <c r="AD132" s="56" t="b">
        <v>0</v>
      </c>
      <c r="AE132" s="54" t="s">
        <v>303</v>
      </c>
      <c r="AF132" s="58">
        <v>46237</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7.7240000000000003E-2</v>
      </c>
      <c r="BC132" s="60">
        <v>4.0599999999999996</v>
      </c>
      <c r="BD132" s="61">
        <v>6.0295000000000001E-2</v>
      </c>
      <c r="BE132" s="62" t="s">
        <v>293</v>
      </c>
      <c r="BF132" s="35">
        <f t="shared" si="0"/>
        <v>4.0600000000000005</v>
      </c>
      <c r="BG132" s="35">
        <f t="shared" si="0"/>
        <v>6.0295000000000001E-2</v>
      </c>
      <c r="BH132" s="35" t="str">
        <f t="shared" si="158"/>
        <v>Low</v>
      </c>
      <c r="BI132" s="110">
        <f t="shared" si="159"/>
        <v>0</v>
      </c>
      <c r="BJ132" s="83">
        <f>VLOOKUP($F132,REP_Info!$D$6:$H$250,5,FALSE)</f>
        <v>1.5649999999999999</v>
      </c>
      <c r="BK132" s="30">
        <f t="shared" si="1"/>
        <v>13.565500000000004</v>
      </c>
      <c r="BL132" s="30">
        <f t="shared" si="1"/>
        <v>13.659500000000003</v>
      </c>
      <c r="BM132" s="30">
        <f t="shared" si="1"/>
        <v>13.7065</v>
      </c>
      <c r="BN132" s="29">
        <f t="shared" si="1"/>
        <v>13.722166666666666</v>
      </c>
      <c r="BO132" s="85" t="str">
        <f t="shared" si="2"/>
        <v>$$$</v>
      </c>
      <c r="BP132" s="88" t="str">
        <f t="shared" si="160"/>
        <v>$$$</v>
      </c>
      <c r="BQ132" s="88" t="str">
        <f t="shared" si="4"/>
        <v>$$$</v>
      </c>
      <c r="BR132" s="88" t="str">
        <f t="shared" si="5"/>
        <v>$$$</v>
      </c>
      <c r="BS132" s="29" t="e">
        <f t="shared" si="170"/>
        <v>#N/A</v>
      </c>
      <c r="BT132" s="29" t="e">
        <f t="shared" si="170"/>
        <v>#N/A</v>
      </c>
      <c r="BU132" s="29" t="e">
        <f t="shared" si="170"/>
        <v>#N/A</v>
      </c>
      <c r="BV132" s="29" t="e">
        <f t="shared" si="170"/>
        <v>#N/A</v>
      </c>
      <c r="BW132" s="29" t="e">
        <f t="shared" si="170"/>
        <v>#N/A</v>
      </c>
      <c r="BX132" s="29" t="e">
        <f t="shared" si="170"/>
        <v>#N/A</v>
      </c>
      <c r="BY132" s="29" t="e">
        <f t="shared" si="170"/>
        <v>#N/A</v>
      </c>
      <c r="BZ132" s="29" t="e">
        <f t="shared" si="170"/>
        <v>#N/A</v>
      </c>
      <c r="CA132" s="29" t="e">
        <f t="shared" si="170"/>
        <v>#N/A</v>
      </c>
      <c r="CB132" s="29" t="e">
        <f t="shared" si="170"/>
        <v>#N/A</v>
      </c>
      <c r="CC132" s="29" t="e">
        <f t="shared" si="170"/>
        <v>#N/A</v>
      </c>
      <c r="CD132" s="29" t="e">
        <f t="shared" si="170"/>
        <v>#N/A</v>
      </c>
      <c r="CE132" s="6" t="str">
        <f t="shared" si="167"/>
        <v/>
      </c>
      <c r="CF132" s="27" t="e">
        <f>IF(AND(CI132,NOT(AD132)),LOOKUP(CF$5,{0,750,1500},H132:J132),"")</f>
        <v>#N/A</v>
      </c>
      <c r="CG132" s="6" t="str">
        <f t="shared" si="168"/>
        <v/>
      </c>
      <c r="CH132" t="e">
        <f t="shared" si="161"/>
        <v>#N/A</v>
      </c>
      <c r="CI132" t="e">
        <f t="shared" si="162"/>
        <v>#N/A</v>
      </c>
      <c r="CJ132" s="6" t="e">
        <f t="shared" si="11"/>
        <v>#N/A</v>
      </c>
      <c r="CK132" s="6">
        <f t="shared" si="12"/>
        <v>1</v>
      </c>
      <c r="CL132" s="6">
        <f t="shared" si="26"/>
        <v>1</v>
      </c>
      <c r="CM132" s="6">
        <f t="shared" si="13"/>
        <v>1</v>
      </c>
      <c r="CN132" s="6">
        <f t="shared" si="14"/>
        <v>1</v>
      </c>
      <c r="CO132" s="6">
        <f t="shared" si="15"/>
        <v>0</v>
      </c>
      <c r="CP132" s="6">
        <f t="shared" si="16"/>
        <v>1</v>
      </c>
      <c r="CQ132" s="6">
        <f t="shared" si="163"/>
        <v>1</v>
      </c>
      <c r="CR132" s="81" t="str">
        <f t="shared" si="17"/>
        <v/>
      </c>
      <c r="CS132">
        <f t="shared" si="164"/>
        <v>0</v>
      </c>
      <c r="CT132">
        <f t="shared" si="19"/>
        <v>20</v>
      </c>
      <c r="CU132" t="str">
        <f t="shared" si="29"/>
        <v>rm</v>
      </c>
      <c r="CV132" s="81">
        <f t="shared" si="165"/>
        <v>720</v>
      </c>
      <c r="CW132" s="81">
        <f>(CV132/25)^1.5*(Calculator!$BU$4/10000)*CW$5</f>
        <v>399.08260508152779</v>
      </c>
      <c r="CX132" t="str">
        <f t="shared" si="166"/>
        <v>$20/rm</v>
      </c>
    </row>
    <row r="133" spans="2:102" x14ac:dyDescent="0.25">
      <c r="B133" s="115" t="s">
        <v>233</v>
      </c>
      <c r="C133" s="13">
        <v>46227.60833333333</v>
      </c>
      <c r="D133">
        <v>36363</v>
      </c>
      <c r="E133" s="54" t="s">
        <v>235</v>
      </c>
      <c r="F133" s="54" t="s">
        <v>505</v>
      </c>
      <c r="G133" s="54" t="s">
        <v>1656</v>
      </c>
      <c r="H133" s="55">
        <v>19.100000000000001</v>
      </c>
      <c r="I133" s="55">
        <v>6.6000000000000005</v>
      </c>
      <c r="J133" s="55">
        <v>12.9</v>
      </c>
      <c r="K133" s="54" t="s">
        <v>1657</v>
      </c>
      <c r="L133" s="56" t="b">
        <v>0</v>
      </c>
      <c r="M133" s="56" t="b">
        <v>0</v>
      </c>
      <c r="N133" s="54">
        <v>1</v>
      </c>
      <c r="O133" s="54" t="s">
        <v>228</v>
      </c>
      <c r="P133" s="54">
        <v>100</v>
      </c>
      <c r="Q133" s="54">
        <v>12</v>
      </c>
      <c r="R133" s="54" t="s">
        <v>507</v>
      </c>
      <c r="S133" s="54" t="s">
        <v>1719</v>
      </c>
      <c r="T133" s="54" t="s">
        <v>508</v>
      </c>
      <c r="U133" s="54" t="s">
        <v>509</v>
      </c>
      <c r="V133" s="54" t="s">
        <v>510</v>
      </c>
      <c r="W133" s="54" t="b">
        <v>0</v>
      </c>
      <c r="X133" s="54"/>
      <c r="Y133" s="57" t="s">
        <v>1658</v>
      </c>
      <c r="Z133" s="54" t="s">
        <v>1726</v>
      </c>
      <c r="AA133" s="54"/>
      <c r="AB133" s="54" t="s">
        <v>512</v>
      </c>
      <c r="AC133" s="56" t="b">
        <v>0</v>
      </c>
      <c r="AD133" s="56" t="b">
        <v>1</v>
      </c>
      <c r="AE133" s="54" t="s">
        <v>303</v>
      </c>
      <c r="AF133" s="58">
        <v>46227</v>
      </c>
      <c r="AG133" s="62" t="s">
        <v>293</v>
      </c>
      <c r="AH133" s="54">
        <v>0</v>
      </c>
      <c r="AI133" s="54">
        <v>1000</v>
      </c>
      <c r="AJ133" s="54"/>
      <c r="AK133" s="54"/>
      <c r="AL133" s="54"/>
      <c r="AM133" s="54">
        <v>-5</v>
      </c>
      <c r="AN133" s="54">
        <v>-130</v>
      </c>
      <c r="AO133" s="54"/>
      <c r="AP133" s="54"/>
      <c r="AQ133" s="54"/>
      <c r="AR133" s="54"/>
      <c r="AS133" s="54"/>
      <c r="AT133" s="54"/>
      <c r="AU133" s="54"/>
      <c r="AV133" s="54"/>
      <c r="AW133" s="54"/>
      <c r="AX133" s="59"/>
      <c r="AY133" s="59"/>
      <c r="AZ133" s="59"/>
      <c r="BA133" s="59"/>
      <c r="BB133" s="59">
        <v>0.13961999999999999</v>
      </c>
      <c r="BC133" s="60">
        <v>4.9000000000000004</v>
      </c>
      <c r="BD133" s="61">
        <v>5.1461E-2</v>
      </c>
      <c r="BE133" s="62" t="s">
        <v>293</v>
      </c>
      <c r="BF133" s="35">
        <f t="shared" si="0"/>
        <v>4.9000000000000004</v>
      </c>
      <c r="BG133" s="35">
        <f t="shared" si="0"/>
        <v>5.1461E-2</v>
      </c>
      <c r="BH133" s="35" t="str">
        <f t="shared" si="158"/>
        <v>High</v>
      </c>
      <c r="BI133" s="110">
        <f t="shared" si="159"/>
        <v>0</v>
      </c>
      <c r="BJ133" s="83">
        <f>VLOOKUP($F133,REP_Info!$D$6:$H$250,5,FALSE)</f>
        <v>1.5649999999999999</v>
      </c>
      <c r="BK133" s="30">
        <f t="shared" si="1"/>
        <v>19.088100000000001</v>
      </c>
      <c r="BL133" s="30">
        <f t="shared" si="1"/>
        <v>6.5981000000000014</v>
      </c>
      <c r="BM133" s="30">
        <f t="shared" si="1"/>
        <v>12.8531</v>
      </c>
      <c r="BN133" s="29">
        <f t="shared" si="1"/>
        <v>14.938099999999997</v>
      </c>
      <c r="BO133" s="85" t="str">
        <f t="shared" si="2"/>
        <v>$$$</v>
      </c>
      <c r="BP133" s="88" t="str">
        <f t="shared" si="160"/>
        <v>$$$</v>
      </c>
      <c r="BQ133" s="88" t="str">
        <f t="shared" si="4"/>
        <v>$$$</v>
      </c>
      <c r="BR133" s="88" t="str">
        <f t="shared" si="5"/>
        <v>$$$</v>
      </c>
      <c r="BS133" s="29" t="e">
        <f t="shared" si="170"/>
        <v>#N/A</v>
      </c>
      <c r="BT133" s="29" t="e">
        <f t="shared" si="170"/>
        <v>#N/A</v>
      </c>
      <c r="BU133" s="29" t="e">
        <f t="shared" si="170"/>
        <v>#N/A</v>
      </c>
      <c r="BV133" s="29" t="e">
        <f t="shared" si="170"/>
        <v>#N/A</v>
      </c>
      <c r="BW133" s="29" t="e">
        <f t="shared" si="170"/>
        <v>#N/A</v>
      </c>
      <c r="BX133" s="29" t="e">
        <f t="shared" si="170"/>
        <v>#N/A</v>
      </c>
      <c r="BY133" s="29" t="e">
        <f t="shared" si="170"/>
        <v>#N/A</v>
      </c>
      <c r="BZ133" s="29" t="e">
        <f t="shared" si="170"/>
        <v>#N/A</v>
      </c>
      <c r="CA133" s="29" t="e">
        <f t="shared" si="170"/>
        <v>#N/A</v>
      </c>
      <c r="CB133" s="29" t="e">
        <f t="shared" si="170"/>
        <v>#N/A</v>
      </c>
      <c r="CC133" s="29" t="e">
        <f t="shared" si="170"/>
        <v>#N/A</v>
      </c>
      <c r="CD133" s="29" t="e">
        <f t="shared" si="170"/>
        <v>#N/A</v>
      </c>
      <c r="CE133" s="6" t="str">
        <f t="shared" si="167"/>
        <v/>
      </c>
      <c r="CF133" s="27" t="e">
        <f>IF(AND(CI133,NOT(AD133)),LOOKUP(CF$5,{0,750,1500},H133:J133),"")</f>
        <v>#N/A</v>
      </c>
      <c r="CG133" s="6" t="str">
        <f t="shared" si="168"/>
        <v/>
      </c>
      <c r="CH133" t="e">
        <f t="shared" si="161"/>
        <v>#N/A</v>
      </c>
      <c r="CI133" t="e">
        <f t="shared" si="162"/>
        <v>#N/A</v>
      </c>
      <c r="CJ133" s="6" t="e">
        <f t="shared" si="11"/>
        <v>#N/A</v>
      </c>
      <c r="CK133" s="6">
        <f t="shared" si="12"/>
        <v>1</v>
      </c>
      <c r="CL133" s="6">
        <f t="shared" si="26"/>
        <v>1</v>
      </c>
      <c r="CM133" s="6">
        <f t="shared" si="13"/>
        <v>1</v>
      </c>
      <c r="CN133" s="6">
        <f t="shared" si="14"/>
        <v>1</v>
      </c>
      <c r="CO133" s="6">
        <f t="shared" si="15"/>
        <v>1</v>
      </c>
      <c r="CP133" s="6">
        <f t="shared" si="16"/>
        <v>1</v>
      </c>
      <c r="CQ133" s="6">
        <f t="shared" si="163"/>
        <v>1</v>
      </c>
      <c r="CR133" s="81" t="str">
        <f t="shared" si="17"/>
        <v/>
      </c>
      <c r="CS133">
        <f t="shared" si="164"/>
        <v>0</v>
      </c>
      <c r="CT133">
        <f t="shared" si="19"/>
        <v>20</v>
      </c>
      <c r="CU133" t="str">
        <f t="shared" si="29"/>
        <v>rm</v>
      </c>
      <c r="CV133" s="81">
        <f t="shared" si="165"/>
        <v>240</v>
      </c>
      <c r="CW133" s="81">
        <f>(CV133/25)^1.5*(Calculator!$BU$4/10000)*CW$5</f>
        <v>76.803483157572401</v>
      </c>
      <c r="CX133" t="str">
        <f t="shared" si="166"/>
        <v>$20/rm</v>
      </c>
    </row>
    <row r="134" spans="2:102" x14ac:dyDescent="0.25">
      <c r="B134" s="115" t="s">
        <v>233</v>
      </c>
      <c r="C134" s="13">
        <v>46237.767361111109</v>
      </c>
      <c r="D134">
        <v>36365</v>
      </c>
      <c r="E134" s="54" t="s">
        <v>237</v>
      </c>
      <c r="F134" s="54" t="s">
        <v>505</v>
      </c>
      <c r="G134" s="54" t="s">
        <v>1656</v>
      </c>
      <c r="H134" s="55">
        <v>19.8</v>
      </c>
      <c r="I134" s="55">
        <v>7.3999999999999995</v>
      </c>
      <c r="J134" s="55">
        <v>13.700000000000001</v>
      </c>
      <c r="K134" s="54" t="s">
        <v>1657</v>
      </c>
      <c r="L134" s="56" t="b">
        <v>0</v>
      </c>
      <c r="M134" s="56" t="b">
        <v>0</v>
      </c>
      <c r="N134" s="54">
        <v>1</v>
      </c>
      <c r="O134" s="54" t="s">
        <v>228</v>
      </c>
      <c r="P134" s="54">
        <v>100</v>
      </c>
      <c r="Q134" s="54">
        <v>12</v>
      </c>
      <c r="R134" s="54" t="s">
        <v>507</v>
      </c>
      <c r="S134" s="54" t="s">
        <v>1719</v>
      </c>
      <c r="T134" s="54" t="s">
        <v>508</v>
      </c>
      <c r="U134" s="54" t="s">
        <v>509</v>
      </c>
      <c r="V134" s="54" t="s">
        <v>510</v>
      </c>
      <c r="W134" s="54" t="b">
        <v>0</v>
      </c>
      <c r="X134" s="54"/>
      <c r="Y134" s="57" t="s">
        <v>1659</v>
      </c>
      <c r="Z134" s="54" t="s">
        <v>1727</v>
      </c>
      <c r="AA134" s="54"/>
      <c r="AB134" s="54" t="s">
        <v>512</v>
      </c>
      <c r="AC134" s="56" t="b">
        <v>0</v>
      </c>
      <c r="AD134" s="56" t="b">
        <v>1</v>
      </c>
      <c r="AE134" s="54" t="s">
        <v>303</v>
      </c>
      <c r="AF134" s="58">
        <v>46237</v>
      </c>
      <c r="AG134" s="62" t="s">
        <v>293</v>
      </c>
      <c r="AH134" s="54">
        <v>0</v>
      </c>
      <c r="AI134" s="54">
        <v>1000</v>
      </c>
      <c r="AJ134" s="54"/>
      <c r="AK134" s="54"/>
      <c r="AL134" s="54"/>
      <c r="AM134" s="54">
        <v>-5</v>
      </c>
      <c r="AN134" s="54">
        <v>-130</v>
      </c>
      <c r="AO134" s="54"/>
      <c r="AP134" s="54"/>
      <c r="AQ134" s="54"/>
      <c r="AR134" s="54"/>
      <c r="AS134" s="54"/>
      <c r="AT134" s="54"/>
      <c r="AU134" s="54"/>
      <c r="AV134" s="54"/>
      <c r="AW134" s="54"/>
      <c r="AX134" s="59"/>
      <c r="AY134" s="59"/>
      <c r="AZ134" s="59"/>
      <c r="BA134" s="59"/>
      <c r="BB134" s="59">
        <v>0.13972999999999999</v>
      </c>
      <c r="BC134" s="60">
        <v>4.0599999999999996</v>
      </c>
      <c r="BD134" s="61">
        <v>6.0295000000000001E-2</v>
      </c>
      <c r="BE134" s="62" t="s">
        <v>293</v>
      </c>
      <c r="BF134" s="35">
        <f t="shared" si="0"/>
        <v>4.0600000000000005</v>
      </c>
      <c r="BG134" s="35">
        <f t="shared" si="0"/>
        <v>6.0295000000000001E-2</v>
      </c>
      <c r="BH134" s="35" t="str">
        <f t="shared" si="158"/>
        <v>High</v>
      </c>
      <c r="BI134" s="110">
        <f t="shared" si="159"/>
        <v>0</v>
      </c>
      <c r="BJ134" s="83">
        <f>VLOOKUP($F134,REP_Info!$D$6:$H$250,5,FALSE)</f>
        <v>1.5649999999999999</v>
      </c>
      <c r="BK134" s="30">
        <f t="shared" si="1"/>
        <v>19.814499999999999</v>
      </c>
      <c r="BL134" s="30">
        <f t="shared" si="1"/>
        <v>7.4084999999999992</v>
      </c>
      <c r="BM134" s="30">
        <f t="shared" si="1"/>
        <v>13.705500000000001</v>
      </c>
      <c r="BN134" s="29">
        <f t="shared" si="1"/>
        <v>15.804500000000001</v>
      </c>
      <c r="BO134" s="85" t="str">
        <f t="shared" si="2"/>
        <v>$$$</v>
      </c>
      <c r="BP134" s="88" t="str">
        <f t="shared" si="160"/>
        <v>$$$</v>
      </c>
      <c r="BQ134" s="88" t="str">
        <f t="shared" si="4"/>
        <v>$$$</v>
      </c>
      <c r="BR134" s="88" t="str">
        <f t="shared" si="5"/>
        <v>$$$</v>
      </c>
      <c r="BS134" s="29" t="e">
        <f t="shared" si="170"/>
        <v>#N/A</v>
      </c>
      <c r="BT134" s="29" t="e">
        <f t="shared" si="170"/>
        <v>#N/A</v>
      </c>
      <c r="BU134" s="29" t="e">
        <f t="shared" si="170"/>
        <v>#N/A</v>
      </c>
      <c r="BV134" s="29" t="e">
        <f t="shared" si="170"/>
        <v>#N/A</v>
      </c>
      <c r="BW134" s="29" t="e">
        <f t="shared" si="170"/>
        <v>#N/A</v>
      </c>
      <c r="BX134" s="29" t="e">
        <f t="shared" si="170"/>
        <v>#N/A</v>
      </c>
      <c r="BY134" s="29" t="e">
        <f t="shared" si="170"/>
        <v>#N/A</v>
      </c>
      <c r="BZ134" s="29" t="e">
        <f t="shared" si="170"/>
        <v>#N/A</v>
      </c>
      <c r="CA134" s="29" t="e">
        <f t="shared" si="170"/>
        <v>#N/A</v>
      </c>
      <c r="CB134" s="29" t="e">
        <f t="shared" si="170"/>
        <v>#N/A</v>
      </c>
      <c r="CC134" s="29" t="e">
        <f t="shared" si="170"/>
        <v>#N/A</v>
      </c>
      <c r="CD134" s="29" t="e">
        <f t="shared" si="170"/>
        <v>#N/A</v>
      </c>
      <c r="CE134" s="6" t="str">
        <f t="shared" si="167"/>
        <v/>
      </c>
      <c r="CF134" s="27" t="e">
        <f>IF(AND(CI134,NOT(AD134)),LOOKUP(CF$5,{0,750,1500},H134:J134),"")</f>
        <v>#N/A</v>
      </c>
      <c r="CG134" s="6" t="str">
        <f t="shared" si="168"/>
        <v/>
      </c>
      <c r="CH134" t="e">
        <f t="shared" si="161"/>
        <v>#N/A</v>
      </c>
      <c r="CI134" t="e">
        <f t="shared" si="162"/>
        <v>#N/A</v>
      </c>
      <c r="CJ134" s="6" t="e">
        <f t="shared" si="11"/>
        <v>#N/A</v>
      </c>
      <c r="CK134" s="6">
        <f t="shared" si="12"/>
        <v>1</v>
      </c>
      <c r="CL134" s="6">
        <f t="shared" si="26"/>
        <v>1</v>
      </c>
      <c r="CM134" s="6">
        <f t="shared" si="13"/>
        <v>1</v>
      </c>
      <c r="CN134" s="6">
        <f t="shared" si="14"/>
        <v>1</v>
      </c>
      <c r="CO134" s="6">
        <f t="shared" si="15"/>
        <v>1</v>
      </c>
      <c r="CP134" s="6">
        <f t="shared" si="16"/>
        <v>1</v>
      </c>
      <c r="CQ134" s="6">
        <f t="shared" si="163"/>
        <v>1</v>
      </c>
      <c r="CR134" s="81" t="str">
        <f t="shared" si="17"/>
        <v/>
      </c>
      <c r="CS134">
        <f t="shared" si="164"/>
        <v>0</v>
      </c>
      <c r="CT134">
        <f t="shared" si="19"/>
        <v>20</v>
      </c>
      <c r="CU134" t="str">
        <f t="shared" si="29"/>
        <v>rm</v>
      </c>
      <c r="CV134" s="81">
        <f t="shared" si="165"/>
        <v>240</v>
      </c>
      <c r="CW134" s="81">
        <f>(CV134/25)^1.5*(Calculator!$BU$4/10000)*CW$5</f>
        <v>76.803483157572401</v>
      </c>
      <c r="CX134" t="str">
        <f t="shared" si="166"/>
        <v>$20/rm</v>
      </c>
    </row>
    <row r="135" spans="2:102" x14ac:dyDescent="0.25">
      <c r="B135" s="115" t="s">
        <v>233</v>
      </c>
      <c r="C135" s="13">
        <v>46237.767361111109</v>
      </c>
      <c r="D135">
        <v>37221</v>
      </c>
      <c r="E135" s="54" t="s">
        <v>235</v>
      </c>
      <c r="F135" s="54" t="s">
        <v>505</v>
      </c>
      <c r="G135" s="54" t="s">
        <v>2276</v>
      </c>
      <c r="H135" s="55">
        <v>10.4</v>
      </c>
      <c r="I135" s="55">
        <v>10.4</v>
      </c>
      <c r="J135" s="55">
        <v>10.5</v>
      </c>
      <c r="K135" s="54"/>
      <c r="L135" s="56" t="b">
        <v>0</v>
      </c>
      <c r="M135" s="56" t="b">
        <v>0</v>
      </c>
      <c r="N135" s="54">
        <v>1</v>
      </c>
      <c r="O135" s="54" t="s">
        <v>228</v>
      </c>
      <c r="P135" s="54">
        <v>100</v>
      </c>
      <c r="Q135" s="54">
        <v>6</v>
      </c>
      <c r="R135" s="54" t="s">
        <v>507</v>
      </c>
      <c r="S135" s="54" t="s">
        <v>1719</v>
      </c>
      <c r="T135" s="54" t="s">
        <v>2277</v>
      </c>
      <c r="U135" s="54" t="s">
        <v>509</v>
      </c>
      <c r="V135" s="54" t="s">
        <v>510</v>
      </c>
      <c r="W135" s="54" t="b">
        <v>0</v>
      </c>
      <c r="X135" s="54"/>
      <c r="Y135" s="57" t="s">
        <v>2278</v>
      </c>
      <c r="Z135" s="54" t="s">
        <v>2279</v>
      </c>
      <c r="AA135" s="54"/>
      <c r="AB135" s="54" t="s">
        <v>512</v>
      </c>
      <c r="AC135" s="56" t="b">
        <v>0</v>
      </c>
      <c r="AD135" s="56" t="b">
        <v>0</v>
      </c>
      <c r="AE135" s="54" t="s">
        <v>303</v>
      </c>
      <c r="AF135" s="58">
        <v>46237</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5.3129999999999997E-2</v>
      </c>
      <c r="BC135" s="60">
        <v>4.9000000000000004</v>
      </c>
      <c r="BD135" s="61">
        <v>5.1461E-2</v>
      </c>
      <c r="BE135" s="62" t="s">
        <v>293</v>
      </c>
      <c r="BF135" s="35">
        <f t="shared" si="0"/>
        <v>4.9000000000000004</v>
      </c>
      <c r="BG135" s="35">
        <f t="shared" si="0"/>
        <v>5.1461E-2</v>
      </c>
      <c r="BH135" s="35" t="str">
        <f t="shared" si="158"/>
        <v>Low</v>
      </c>
      <c r="BI135" s="110">
        <f t="shared" si="159"/>
        <v>0</v>
      </c>
      <c r="BJ135" s="83">
        <f>VLOOKUP($F135,REP_Info!$D$6:$H$250,5,FALSE)</f>
        <v>1.5649999999999999</v>
      </c>
      <c r="BK135" s="30">
        <f t="shared" si="1"/>
        <v>10.439099999999998</v>
      </c>
      <c r="BL135" s="30">
        <f t="shared" si="1"/>
        <v>10.449099999999998</v>
      </c>
      <c r="BM135" s="30">
        <f t="shared" si="1"/>
        <v>10.4541</v>
      </c>
      <c r="BN135" s="29">
        <f t="shared" si="1"/>
        <v>10.455766666666666</v>
      </c>
      <c r="BO135" s="85" t="str">
        <f t="shared" si="2"/>
        <v>$$$</v>
      </c>
      <c r="BP135" s="88" t="str">
        <f t="shared" si="160"/>
        <v>$$$</v>
      </c>
      <c r="BQ135" s="88" t="str">
        <f t="shared" si="4"/>
        <v>$$$</v>
      </c>
      <c r="BR135" s="88" t="str">
        <f t="shared" si="5"/>
        <v>$$$</v>
      </c>
      <c r="BS135" s="29" t="e">
        <f t="shared" si="170"/>
        <v>#N/A</v>
      </c>
      <c r="BT135" s="29" t="e">
        <f t="shared" si="170"/>
        <v>#N/A</v>
      </c>
      <c r="BU135" s="29" t="e">
        <f t="shared" si="170"/>
        <v>#N/A</v>
      </c>
      <c r="BV135" s="29" t="e">
        <f t="shared" si="170"/>
        <v>#N/A</v>
      </c>
      <c r="BW135" s="29" t="e">
        <f t="shared" si="170"/>
        <v>#N/A</v>
      </c>
      <c r="BX135" s="29" t="e">
        <f t="shared" si="170"/>
        <v>#N/A</v>
      </c>
      <c r="BY135" s="29" t="e">
        <f t="shared" si="170"/>
        <v>#N/A</v>
      </c>
      <c r="BZ135" s="29" t="e">
        <f t="shared" si="170"/>
        <v>#N/A</v>
      </c>
      <c r="CA135" s="29" t="e">
        <f t="shared" si="170"/>
        <v>#N/A</v>
      </c>
      <c r="CB135" s="29" t="e">
        <f t="shared" si="170"/>
        <v>#N/A</v>
      </c>
      <c r="CC135" s="29" t="e">
        <f t="shared" si="170"/>
        <v>#N/A</v>
      </c>
      <c r="CD135" s="29" t="e">
        <f t="shared" si="170"/>
        <v>#N/A</v>
      </c>
      <c r="CE135" s="6" t="str">
        <f t="shared" si="167"/>
        <v/>
      </c>
      <c r="CF135" s="27" t="e">
        <f>IF(AND(CI135,NOT(AD135)),LOOKUP(CF$5,{0,750,1500},H135:J135),"")</f>
        <v>#N/A</v>
      </c>
      <c r="CG135" s="6" t="str">
        <f t="shared" si="168"/>
        <v/>
      </c>
      <c r="CH135" t="e">
        <f t="shared" si="161"/>
        <v>#N/A</v>
      </c>
      <c r="CI135" t="e">
        <f t="shared" si="162"/>
        <v>#N/A</v>
      </c>
      <c r="CJ135" s="6" t="e">
        <f t="shared" si="11"/>
        <v>#N/A</v>
      </c>
      <c r="CK135" s="6">
        <f t="shared" si="12"/>
        <v>1</v>
      </c>
      <c r="CL135" s="6">
        <f t="shared" si="26"/>
        <v>1</v>
      </c>
      <c r="CM135" s="6">
        <f t="shared" si="13"/>
        <v>1</v>
      </c>
      <c r="CN135" s="6">
        <f t="shared" si="14"/>
        <v>0</v>
      </c>
      <c r="CO135" s="6">
        <f t="shared" si="15"/>
        <v>1</v>
      </c>
      <c r="CP135" s="6">
        <f t="shared" si="16"/>
        <v>1</v>
      </c>
      <c r="CQ135" s="6">
        <f t="shared" si="163"/>
        <v>1</v>
      </c>
      <c r="CR135" s="81" t="str">
        <f t="shared" si="17"/>
        <v/>
      </c>
      <c r="CS135">
        <f t="shared" si="164"/>
        <v>18</v>
      </c>
      <c r="CT135">
        <f t="shared" si="19"/>
        <v>20</v>
      </c>
      <c r="CU135" t="str">
        <f t="shared" si="29"/>
        <v>rm</v>
      </c>
      <c r="CV135" s="81">
        <f t="shared" si="165"/>
        <v>120</v>
      </c>
      <c r="CW135" s="81">
        <f>(CV135/25)^1.5*(Calculator!$BU$4/10000)*CW$5</f>
        <v>27.154131879733114</v>
      </c>
      <c r="CX135" t="str">
        <f t="shared" si="166"/>
        <v>$20/rm</v>
      </c>
    </row>
    <row r="136" spans="2:102" x14ac:dyDescent="0.25">
      <c r="B136" s="115" t="s">
        <v>233</v>
      </c>
      <c r="C136" s="13">
        <v>46237.767361111109</v>
      </c>
      <c r="D136">
        <v>37223</v>
      </c>
      <c r="E136" s="54" t="s">
        <v>237</v>
      </c>
      <c r="F136" s="54" t="s">
        <v>505</v>
      </c>
      <c r="G136" s="54" t="s">
        <v>2276</v>
      </c>
      <c r="H136" s="55">
        <v>11.3</v>
      </c>
      <c r="I136" s="55">
        <v>11.3</v>
      </c>
      <c r="J136" s="55">
        <v>11.4</v>
      </c>
      <c r="K136" s="54"/>
      <c r="L136" s="56" t="b">
        <v>0</v>
      </c>
      <c r="M136" s="56" t="b">
        <v>0</v>
      </c>
      <c r="N136" s="54">
        <v>1</v>
      </c>
      <c r="O136" s="54" t="s">
        <v>228</v>
      </c>
      <c r="P136" s="54">
        <v>100</v>
      </c>
      <c r="Q136" s="54">
        <v>6</v>
      </c>
      <c r="R136" s="54" t="s">
        <v>507</v>
      </c>
      <c r="S136" s="54" t="s">
        <v>1719</v>
      </c>
      <c r="T136" s="54" t="s">
        <v>2277</v>
      </c>
      <c r="U136" s="54" t="s">
        <v>509</v>
      </c>
      <c r="V136" s="54" t="s">
        <v>510</v>
      </c>
      <c r="W136" s="54" t="b">
        <v>0</v>
      </c>
      <c r="X136" s="54"/>
      <c r="Y136" s="57" t="s">
        <v>2280</v>
      </c>
      <c r="Z136" s="54" t="s">
        <v>2281</v>
      </c>
      <c r="AA136" s="54"/>
      <c r="AB136" s="54" t="s">
        <v>512</v>
      </c>
      <c r="AC136" s="56" t="b">
        <v>0</v>
      </c>
      <c r="AD136" s="56" t="b">
        <v>0</v>
      </c>
      <c r="AE136" s="54" t="s">
        <v>303</v>
      </c>
      <c r="AF136" s="58">
        <v>46237</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5.4140000000000001E-2</v>
      </c>
      <c r="BC136" s="60">
        <v>4.0599999999999996</v>
      </c>
      <c r="BD136" s="61">
        <v>6.0295000000000001E-2</v>
      </c>
      <c r="BE136" s="62" t="s">
        <v>293</v>
      </c>
      <c r="BF136" s="35">
        <f t="shared" si="0"/>
        <v>4.0600000000000005</v>
      </c>
      <c r="BG136" s="35">
        <f t="shared" si="0"/>
        <v>6.0295000000000001E-2</v>
      </c>
      <c r="BH136" s="35" t="str">
        <f t="shared" si="158"/>
        <v>Low</v>
      </c>
      <c r="BI136" s="110">
        <f t="shared" si="159"/>
        <v>0</v>
      </c>
      <c r="BJ136" s="83">
        <f>VLOOKUP($F136,REP_Info!$D$6:$H$250,5,FALSE)</f>
        <v>1.5649999999999999</v>
      </c>
      <c r="BK136" s="30">
        <f t="shared" si="1"/>
        <v>11.2555</v>
      </c>
      <c r="BL136" s="30">
        <f t="shared" si="1"/>
        <v>11.349500000000001</v>
      </c>
      <c r="BM136" s="30">
        <f t="shared" si="1"/>
        <v>11.3965</v>
      </c>
      <c r="BN136" s="29">
        <f t="shared" si="1"/>
        <v>11.412166666666666</v>
      </c>
      <c r="BO136" s="85" t="str">
        <f t="shared" si="2"/>
        <v>$$$</v>
      </c>
      <c r="BP136" s="88" t="str">
        <f t="shared" si="160"/>
        <v>$$$</v>
      </c>
      <c r="BQ136" s="88" t="str">
        <f t="shared" si="4"/>
        <v>$$$</v>
      </c>
      <c r="BR136" s="88" t="str">
        <f t="shared" si="5"/>
        <v>$$$</v>
      </c>
      <c r="BS136" s="29" t="e">
        <f t="shared" si="170"/>
        <v>#N/A</v>
      </c>
      <c r="BT136" s="29" t="e">
        <f t="shared" si="170"/>
        <v>#N/A</v>
      </c>
      <c r="BU136" s="29" t="e">
        <f t="shared" si="170"/>
        <v>#N/A</v>
      </c>
      <c r="BV136" s="29" t="e">
        <f t="shared" si="170"/>
        <v>#N/A</v>
      </c>
      <c r="BW136" s="29" t="e">
        <f t="shared" si="170"/>
        <v>#N/A</v>
      </c>
      <c r="BX136" s="29" t="e">
        <f t="shared" si="170"/>
        <v>#N/A</v>
      </c>
      <c r="BY136" s="29" t="e">
        <f t="shared" si="170"/>
        <v>#N/A</v>
      </c>
      <c r="BZ136" s="29" t="e">
        <f t="shared" si="170"/>
        <v>#N/A</v>
      </c>
      <c r="CA136" s="29" t="e">
        <f t="shared" si="170"/>
        <v>#N/A</v>
      </c>
      <c r="CB136" s="29" t="e">
        <f t="shared" si="170"/>
        <v>#N/A</v>
      </c>
      <c r="CC136" s="29" t="e">
        <f t="shared" si="170"/>
        <v>#N/A</v>
      </c>
      <c r="CD136" s="29" t="e">
        <f t="shared" si="170"/>
        <v>#N/A</v>
      </c>
      <c r="CE136" s="6" t="str">
        <f t="shared" si="167"/>
        <v/>
      </c>
      <c r="CF136" s="27" t="e">
        <f>IF(AND(CI136,NOT(AD136)),LOOKUP(CF$5,{0,750,1500},H136:J136),"")</f>
        <v>#N/A</v>
      </c>
      <c r="CG136" s="6" t="str">
        <f t="shared" si="168"/>
        <v/>
      </c>
      <c r="CH136" t="e">
        <f t="shared" si="161"/>
        <v>#N/A</v>
      </c>
      <c r="CI136" t="e">
        <f t="shared" si="162"/>
        <v>#N/A</v>
      </c>
      <c r="CJ136" s="6" t="e">
        <f t="shared" si="11"/>
        <v>#N/A</v>
      </c>
      <c r="CK136" s="6">
        <f t="shared" si="12"/>
        <v>1</v>
      </c>
      <c r="CL136" s="6">
        <f t="shared" si="26"/>
        <v>1</v>
      </c>
      <c r="CM136" s="6">
        <f t="shared" si="13"/>
        <v>1</v>
      </c>
      <c r="CN136" s="6">
        <f t="shared" si="14"/>
        <v>0</v>
      </c>
      <c r="CO136" s="6">
        <f t="shared" si="15"/>
        <v>1</v>
      </c>
      <c r="CP136" s="6">
        <f t="shared" si="16"/>
        <v>1</v>
      </c>
      <c r="CQ136" s="6">
        <f t="shared" si="163"/>
        <v>1</v>
      </c>
      <c r="CR136" s="81" t="str">
        <f t="shared" si="17"/>
        <v/>
      </c>
      <c r="CS136">
        <f t="shared" si="164"/>
        <v>18</v>
      </c>
      <c r="CT136">
        <f t="shared" si="19"/>
        <v>20</v>
      </c>
      <c r="CU136" t="str">
        <f t="shared" si="29"/>
        <v>rm</v>
      </c>
      <c r="CV136" s="81">
        <f t="shared" si="165"/>
        <v>120</v>
      </c>
      <c r="CW136" s="81">
        <f>(CV136/25)^1.5*(Calculator!$BU$4/10000)*CW$5</f>
        <v>27.154131879733114</v>
      </c>
      <c r="CX136" t="str">
        <f t="shared" si="166"/>
        <v>$20/rm</v>
      </c>
    </row>
    <row r="137" spans="2:102" x14ac:dyDescent="0.25">
      <c r="B137" s="115" t="s">
        <v>233</v>
      </c>
      <c r="C137" s="13">
        <v>46237.767361111109</v>
      </c>
      <c r="D137">
        <v>21211</v>
      </c>
      <c r="E137" s="54" t="s">
        <v>237</v>
      </c>
      <c r="F137" s="54" t="s">
        <v>1367</v>
      </c>
      <c r="G137" s="54" t="s">
        <v>1800</v>
      </c>
      <c r="H137" s="55">
        <v>12.1</v>
      </c>
      <c r="I137" s="55">
        <v>11.600000000000001</v>
      </c>
      <c r="J137" s="55">
        <v>11.4</v>
      </c>
      <c r="K137" s="54"/>
      <c r="L137" s="56" t="b">
        <v>0</v>
      </c>
      <c r="M137" s="56" t="b">
        <v>0</v>
      </c>
      <c r="N137" s="54">
        <v>1</v>
      </c>
      <c r="O137" s="54" t="s">
        <v>228</v>
      </c>
      <c r="P137" s="54">
        <v>3</v>
      </c>
      <c r="Q137" s="54">
        <v>12</v>
      </c>
      <c r="R137" s="54" t="s">
        <v>538</v>
      </c>
      <c r="S137" s="54" t="s">
        <v>1804</v>
      </c>
      <c r="T137" s="54" t="s">
        <v>1801</v>
      </c>
      <c r="U137" s="54" t="s">
        <v>1786</v>
      </c>
      <c r="V137" s="54" t="s">
        <v>1802</v>
      </c>
      <c r="W137" s="54" t="b">
        <v>0</v>
      </c>
      <c r="X137" s="54"/>
      <c r="Y137" s="57" t="s">
        <v>1803</v>
      </c>
      <c r="Z137" s="54" t="s">
        <v>1804</v>
      </c>
      <c r="AA137" s="54"/>
      <c r="AB137" s="54" t="s">
        <v>1805</v>
      </c>
      <c r="AC137" s="56" t="b">
        <v>1</v>
      </c>
      <c r="AD137" s="56" t="b">
        <v>0</v>
      </c>
      <c r="AE137" s="54" t="s">
        <v>303</v>
      </c>
      <c r="AF137" s="58">
        <v>46237</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5.2139999999999999E-2</v>
      </c>
      <c r="BC137" s="60"/>
      <c r="BD137" s="61"/>
      <c r="BE137" s="62" t="s">
        <v>293</v>
      </c>
      <c r="BF137" s="35">
        <f t="shared" si="0"/>
        <v>4.0600000000000005</v>
      </c>
      <c r="BG137" s="35">
        <f t="shared" si="0"/>
        <v>6.0295000000000001E-2</v>
      </c>
      <c r="BH137" s="35" t="str">
        <f t="shared" si="158"/>
        <v>Low</v>
      </c>
      <c r="BI137" s="110">
        <f t="shared" si="159"/>
        <v>0</v>
      </c>
      <c r="BJ137" s="83" t="str">
        <f>VLOOKUP($F137,REP_Info!$D$6:$H$250,5,FALSE)</f>
        <v/>
      </c>
      <c r="BK137" s="30">
        <f t="shared" si="1"/>
        <v>12.0555</v>
      </c>
      <c r="BL137" s="30">
        <f t="shared" si="1"/>
        <v>11.6495</v>
      </c>
      <c r="BM137" s="30">
        <f t="shared" si="1"/>
        <v>11.4465</v>
      </c>
      <c r="BN137" s="29">
        <f t="shared" si="1"/>
        <v>11.378833333333333</v>
      </c>
      <c r="BO137" s="85" t="str">
        <f t="shared" si="2"/>
        <v>$$$</v>
      </c>
      <c r="BP137" s="88" t="str">
        <f t="shared" si="160"/>
        <v>$$$</v>
      </c>
      <c r="BQ137" s="88" t="str">
        <f t="shared" si="4"/>
        <v>$$$</v>
      </c>
      <c r="BR137" s="88" t="str">
        <f t="shared" si="5"/>
        <v>$$$</v>
      </c>
      <c r="BS137" s="29" t="e">
        <f t="shared" si="170"/>
        <v>#N/A</v>
      </c>
      <c r="BT137" s="29" t="e">
        <f t="shared" si="170"/>
        <v>#N/A</v>
      </c>
      <c r="BU137" s="29" t="e">
        <f t="shared" si="170"/>
        <v>#N/A</v>
      </c>
      <c r="BV137" s="29" t="e">
        <f t="shared" si="170"/>
        <v>#N/A</v>
      </c>
      <c r="BW137" s="29" t="e">
        <f t="shared" si="170"/>
        <v>#N/A</v>
      </c>
      <c r="BX137" s="29" t="e">
        <f t="shared" si="170"/>
        <v>#N/A</v>
      </c>
      <c r="BY137" s="29" t="e">
        <f t="shared" si="170"/>
        <v>#N/A</v>
      </c>
      <c r="BZ137" s="29" t="e">
        <f t="shared" si="170"/>
        <v>#N/A</v>
      </c>
      <c r="CA137" s="29" t="e">
        <f t="shared" si="170"/>
        <v>#N/A</v>
      </c>
      <c r="CB137" s="29" t="e">
        <f t="shared" si="170"/>
        <v>#N/A</v>
      </c>
      <c r="CC137" s="29" t="e">
        <f t="shared" si="170"/>
        <v>#N/A</v>
      </c>
      <c r="CD137" s="29" t="e">
        <f t="shared" si="170"/>
        <v>#N/A</v>
      </c>
      <c r="CE137" s="6" t="str">
        <f t="shared" si="167"/>
        <v/>
      </c>
      <c r="CF137" s="27" t="e">
        <f>IF(AND(CI137,NOT(AD137)),LOOKUP(CF$5,{0,750,1500},H137:J137),"")</f>
        <v>#N/A</v>
      </c>
      <c r="CG137" s="6" t="str">
        <f t="shared" si="168"/>
        <v/>
      </c>
      <c r="CH137" t="e">
        <f t="shared" si="161"/>
        <v>#N/A</v>
      </c>
      <c r="CI137" t="e">
        <f t="shared" si="162"/>
        <v>#N/A</v>
      </c>
      <c r="CJ137" s="6" t="e">
        <f t="shared" si="11"/>
        <v>#N/A</v>
      </c>
      <c r="CK137" s="6">
        <f t="shared" si="12"/>
        <v>1</v>
      </c>
      <c r="CL137" s="6">
        <f t="shared" si="26"/>
        <v>1</v>
      </c>
      <c r="CM137" s="6">
        <f t="shared" si="13"/>
        <v>1</v>
      </c>
      <c r="CN137" s="6">
        <f t="shared" si="14"/>
        <v>1</v>
      </c>
      <c r="CO137" s="6">
        <f t="shared" si="15"/>
        <v>1</v>
      </c>
      <c r="CP137" s="6">
        <f t="shared" si="16"/>
        <v>1</v>
      </c>
      <c r="CQ137" s="6">
        <f t="shared" si="163"/>
        <v>1</v>
      </c>
      <c r="CR137" s="81" t="str">
        <f t="shared" si="17"/>
        <v/>
      </c>
      <c r="CS137">
        <f t="shared" si="164"/>
        <v>0</v>
      </c>
      <c r="CT137">
        <f t="shared" si="19"/>
        <v>20</v>
      </c>
      <c r="CU137" t="str">
        <f t="shared" si="29"/>
        <v>rm</v>
      </c>
      <c r="CV137" s="81">
        <f t="shared" si="165"/>
        <v>240</v>
      </c>
      <c r="CW137" s="81">
        <f>(CV137/25)^1.5*(Calculator!$BU$4/10000)*CW$5</f>
        <v>76.803483157572401</v>
      </c>
      <c r="CX137" t="str">
        <f t="shared" si="166"/>
        <v>$20/rm</v>
      </c>
    </row>
    <row r="138" spans="2:102" x14ac:dyDescent="0.25">
      <c r="B138" s="115" t="s">
        <v>233</v>
      </c>
      <c r="C138" s="13">
        <v>46230.89166666667</v>
      </c>
      <c r="D138">
        <v>21212</v>
      </c>
      <c r="E138" s="54" t="s">
        <v>235</v>
      </c>
      <c r="F138" s="54" t="s">
        <v>1367</v>
      </c>
      <c r="G138" s="54" t="s">
        <v>1800</v>
      </c>
      <c r="H138" s="55">
        <v>11.3</v>
      </c>
      <c r="I138" s="55">
        <v>10.8</v>
      </c>
      <c r="J138" s="55">
        <v>10.6</v>
      </c>
      <c r="K138" s="54"/>
      <c r="L138" s="56" t="b">
        <v>0</v>
      </c>
      <c r="M138" s="56" t="b">
        <v>0</v>
      </c>
      <c r="N138" s="54">
        <v>1</v>
      </c>
      <c r="O138" s="54" t="s">
        <v>228</v>
      </c>
      <c r="P138" s="54">
        <v>3</v>
      </c>
      <c r="Q138" s="54">
        <v>12</v>
      </c>
      <c r="R138" s="54" t="s">
        <v>538</v>
      </c>
      <c r="S138" s="54" t="s">
        <v>1804</v>
      </c>
      <c r="T138" s="54" t="s">
        <v>1801</v>
      </c>
      <c r="U138" s="54" t="s">
        <v>1789</v>
      </c>
      <c r="V138" s="54" t="s">
        <v>1806</v>
      </c>
      <c r="W138" s="54" t="b">
        <v>0</v>
      </c>
      <c r="X138" s="54"/>
      <c r="Y138" s="57" t="s">
        <v>1807</v>
      </c>
      <c r="Z138" s="54" t="s">
        <v>1804</v>
      </c>
      <c r="AA138" s="54"/>
      <c r="AB138" s="54" t="s">
        <v>1805</v>
      </c>
      <c r="AC138" s="56" t="b">
        <v>1</v>
      </c>
      <c r="AD138" s="56" t="b">
        <v>0</v>
      </c>
      <c r="AE138" s="54" t="s">
        <v>303</v>
      </c>
      <c r="AF138" s="58">
        <v>46230</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5.1639999999999998E-2</v>
      </c>
      <c r="BC138" s="60"/>
      <c r="BD138" s="61"/>
      <c r="BE138" s="62" t="s">
        <v>293</v>
      </c>
      <c r="BF138" s="35">
        <f t="shared" si="0"/>
        <v>4.9000000000000004</v>
      </c>
      <c r="BG138" s="35">
        <f t="shared" si="0"/>
        <v>5.1461E-2</v>
      </c>
      <c r="BH138" s="35" t="str">
        <f t="shared" si="158"/>
        <v>Low</v>
      </c>
      <c r="BI138" s="110">
        <f t="shared" si="159"/>
        <v>0</v>
      </c>
      <c r="BJ138" s="83" t="str">
        <f>VLOOKUP($F138,REP_Info!$D$6:$H$250,5,FALSE)</f>
        <v/>
      </c>
      <c r="BK138" s="30">
        <f t="shared" si="1"/>
        <v>11.290100000000001</v>
      </c>
      <c r="BL138" s="30">
        <f t="shared" si="1"/>
        <v>10.8001</v>
      </c>
      <c r="BM138" s="30">
        <f t="shared" si="1"/>
        <v>10.555099999999999</v>
      </c>
      <c r="BN138" s="29">
        <f t="shared" si="1"/>
        <v>10.473433333333332</v>
      </c>
      <c r="BO138" s="85" t="str">
        <f t="shared" si="2"/>
        <v>$$$</v>
      </c>
      <c r="BP138" s="88" t="str">
        <f t="shared" si="160"/>
        <v>$$$</v>
      </c>
      <c r="BQ138" s="88" t="str">
        <f t="shared" si="4"/>
        <v>$$$</v>
      </c>
      <c r="BR138" s="88" t="str">
        <f t="shared" si="5"/>
        <v>$$$</v>
      </c>
      <c r="BS138" s="29" t="e">
        <f t="shared" si="170"/>
        <v>#N/A</v>
      </c>
      <c r="BT138" s="29" t="e">
        <f t="shared" si="170"/>
        <v>#N/A</v>
      </c>
      <c r="BU138" s="29" t="e">
        <f t="shared" si="170"/>
        <v>#N/A</v>
      </c>
      <c r="BV138" s="29" t="e">
        <f t="shared" si="170"/>
        <v>#N/A</v>
      </c>
      <c r="BW138" s="29" t="e">
        <f t="shared" si="170"/>
        <v>#N/A</v>
      </c>
      <c r="BX138" s="29" t="e">
        <f t="shared" si="170"/>
        <v>#N/A</v>
      </c>
      <c r="BY138" s="29" t="e">
        <f t="shared" si="170"/>
        <v>#N/A</v>
      </c>
      <c r="BZ138" s="29" t="e">
        <f t="shared" si="170"/>
        <v>#N/A</v>
      </c>
      <c r="CA138" s="29" t="e">
        <f t="shared" si="170"/>
        <v>#N/A</v>
      </c>
      <c r="CB138" s="29" t="e">
        <f t="shared" si="170"/>
        <v>#N/A</v>
      </c>
      <c r="CC138" s="29" t="e">
        <f t="shared" si="170"/>
        <v>#N/A</v>
      </c>
      <c r="CD138" s="29" t="e">
        <f t="shared" si="170"/>
        <v>#N/A</v>
      </c>
      <c r="CE138" s="6" t="str">
        <f t="shared" si="167"/>
        <v/>
      </c>
      <c r="CF138" s="27" t="e">
        <f>IF(AND(CI138,NOT(AD138)),LOOKUP(CF$5,{0,750,1500},H138:J138),"")</f>
        <v>#N/A</v>
      </c>
      <c r="CG138" s="6" t="str">
        <f t="shared" si="168"/>
        <v/>
      </c>
      <c r="CH138" t="e">
        <f t="shared" si="161"/>
        <v>#N/A</v>
      </c>
      <c r="CI138" t="e">
        <f t="shared" si="162"/>
        <v>#N/A</v>
      </c>
      <c r="CJ138" s="6" t="e">
        <f t="shared" si="11"/>
        <v>#N/A</v>
      </c>
      <c r="CK138" s="6">
        <f t="shared" si="12"/>
        <v>1</v>
      </c>
      <c r="CL138" s="6">
        <f t="shared" si="26"/>
        <v>1</v>
      </c>
      <c r="CM138" s="6">
        <f t="shared" si="13"/>
        <v>1</v>
      </c>
      <c r="CN138" s="6">
        <f t="shared" si="14"/>
        <v>1</v>
      </c>
      <c r="CO138" s="6">
        <f t="shared" si="15"/>
        <v>1</v>
      </c>
      <c r="CP138" s="6">
        <f t="shared" si="16"/>
        <v>1</v>
      </c>
      <c r="CQ138" s="6">
        <f t="shared" si="163"/>
        <v>1</v>
      </c>
      <c r="CR138" s="81" t="str">
        <f t="shared" si="17"/>
        <v/>
      </c>
      <c r="CS138">
        <f t="shared" si="164"/>
        <v>0</v>
      </c>
      <c r="CT138">
        <f t="shared" si="19"/>
        <v>20</v>
      </c>
      <c r="CU138" t="str">
        <f t="shared" si="29"/>
        <v>rm</v>
      </c>
      <c r="CV138" s="81">
        <f t="shared" si="165"/>
        <v>240</v>
      </c>
      <c r="CW138" s="81">
        <f>(CV138/25)^1.5*(Calculator!$BU$4/10000)*CW$5</f>
        <v>76.803483157572401</v>
      </c>
      <c r="CX138" t="str">
        <f t="shared" si="166"/>
        <v>$20/rm</v>
      </c>
    </row>
    <row r="139" spans="2:102" x14ac:dyDescent="0.25">
      <c r="B139" s="115" t="s">
        <v>233</v>
      </c>
      <c r="C139" s="13">
        <v>46237.767361111109</v>
      </c>
      <c r="D139">
        <v>36618</v>
      </c>
      <c r="E139" s="54" t="s">
        <v>237</v>
      </c>
      <c r="F139" s="54" t="s">
        <v>1367</v>
      </c>
      <c r="G139" s="54" t="s">
        <v>1808</v>
      </c>
      <c r="H139" s="55">
        <v>20.200000000000003</v>
      </c>
      <c r="I139" s="55">
        <v>7.1999999999999993</v>
      </c>
      <c r="J139" s="55">
        <v>13.3</v>
      </c>
      <c r="K139" s="54" t="s">
        <v>1809</v>
      </c>
      <c r="L139" s="56" t="b">
        <v>0</v>
      </c>
      <c r="M139" s="56" t="b">
        <v>0</v>
      </c>
      <c r="N139" s="54">
        <v>1</v>
      </c>
      <c r="O139" s="54" t="s">
        <v>228</v>
      </c>
      <c r="P139" s="54">
        <v>3</v>
      </c>
      <c r="Q139" s="54">
        <v>12</v>
      </c>
      <c r="R139" s="54" t="s">
        <v>1810</v>
      </c>
      <c r="S139" s="54" t="s">
        <v>1804</v>
      </c>
      <c r="T139" s="54"/>
      <c r="U139" s="54" t="s">
        <v>1791</v>
      </c>
      <c r="V139" s="54" t="s">
        <v>1811</v>
      </c>
      <c r="W139" s="54" t="b">
        <v>0</v>
      </c>
      <c r="X139" s="54"/>
      <c r="Y139" s="57" t="s">
        <v>1812</v>
      </c>
      <c r="Z139" s="54" t="s">
        <v>1804</v>
      </c>
      <c r="AA139" s="54"/>
      <c r="AB139" s="54" t="s">
        <v>1805</v>
      </c>
      <c r="AC139" s="56" t="b">
        <v>1</v>
      </c>
      <c r="AD139" s="56" t="b">
        <v>1</v>
      </c>
      <c r="AE139" s="54" t="s">
        <v>303</v>
      </c>
      <c r="AF139" s="58">
        <v>46237</v>
      </c>
      <c r="AG139" s="62" t="s">
        <v>293</v>
      </c>
      <c r="AH139" s="54">
        <v>0</v>
      </c>
      <c r="AI139" s="54">
        <v>1000</v>
      </c>
      <c r="AJ139" s="54"/>
      <c r="AK139" s="54"/>
      <c r="AL139" s="54"/>
      <c r="AM139" s="54">
        <v>0</v>
      </c>
      <c r="AN139" s="54">
        <v>-125</v>
      </c>
      <c r="AO139" s="54"/>
      <c r="AP139" s="54"/>
      <c r="AQ139" s="54"/>
      <c r="AR139" s="54"/>
      <c r="AS139" s="54"/>
      <c r="AT139" s="54"/>
      <c r="AU139" s="54"/>
      <c r="AV139" s="54"/>
      <c r="AW139" s="54"/>
      <c r="AX139" s="59"/>
      <c r="AY139" s="59"/>
      <c r="AZ139" s="59"/>
      <c r="BA139" s="59"/>
      <c r="BB139" s="59">
        <v>0.13314000000000001</v>
      </c>
      <c r="BC139" s="60"/>
      <c r="BD139" s="61"/>
      <c r="BE139" s="62" t="s">
        <v>293</v>
      </c>
      <c r="BF139" s="35">
        <f t="shared" si="0"/>
        <v>4.0600000000000005</v>
      </c>
      <c r="BG139" s="35">
        <f t="shared" si="0"/>
        <v>6.0295000000000001E-2</v>
      </c>
      <c r="BH139" s="35" t="str">
        <f t="shared" si="158"/>
        <v>High</v>
      </c>
      <c r="BI139" s="110">
        <f t="shared" si="159"/>
        <v>0</v>
      </c>
      <c r="BJ139" s="83" t="str">
        <f>VLOOKUP($F139,REP_Info!$D$6:$H$250,5,FALSE)</f>
        <v/>
      </c>
      <c r="BK139" s="30">
        <f t="shared" si="1"/>
        <v>20.1555</v>
      </c>
      <c r="BL139" s="30">
        <f t="shared" si="1"/>
        <v>7.2495000000000021</v>
      </c>
      <c r="BM139" s="30">
        <f t="shared" si="1"/>
        <v>13.296500000000004</v>
      </c>
      <c r="BN139" s="29">
        <f t="shared" si="1"/>
        <v>15.312166666666666</v>
      </c>
      <c r="BO139" s="85" t="str">
        <f t="shared" si="2"/>
        <v>$$$</v>
      </c>
      <c r="BP139" s="88" t="str">
        <f t="shared" si="160"/>
        <v>$$$</v>
      </c>
      <c r="BQ139" s="88" t="str">
        <f t="shared" si="4"/>
        <v>$$$</v>
      </c>
      <c r="BR139" s="88" t="str">
        <f t="shared" si="5"/>
        <v>$$$</v>
      </c>
      <c r="BS139" s="29" t="e">
        <f t="shared" si="170"/>
        <v>#N/A</v>
      </c>
      <c r="BT139" s="29" t="e">
        <f t="shared" si="170"/>
        <v>#N/A</v>
      </c>
      <c r="BU139" s="29" t="e">
        <f t="shared" si="170"/>
        <v>#N/A</v>
      </c>
      <c r="BV139" s="29" t="e">
        <f t="shared" si="170"/>
        <v>#N/A</v>
      </c>
      <c r="BW139" s="29" t="e">
        <f t="shared" si="170"/>
        <v>#N/A</v>
      </c>
      <c r="BX139" s="29" t="e">
        <f t="shared" si="170"/>
        <v>#N/A</v>
      </c>
      <c r="BY139" s="29" t="e">
        <f t="shared" si="170"/>
        <v>#N/A</v>
      </c>
      <c r="BZ139" s="29" t="e">
        <f t="shared" si="170"/>
        <v>#N/A</v>
      </c>
      <c r="CA139" s="29" t="e">
        <f t="shared" si="170"/>
        <v>#N/A</v>
      </c>
      <c r="CB139" s="29" t="e">
        <f t="shared" si="170"/>
        <v>#N/A</v>
      </c>
      <c r="CC139" s="29" t="e">
        <f t="shared" si="170"/>
        <v>#N/A</v>
      </c>
      <c r="CD139" s="29" t="e">
        <f t="shared" si="170"/>
        <v>#N/A</v>
      </c>
      <c r="CE139" s="6" t="str">
        <f t="shared" si="167"/>
        <v/>
      </c>
      <c r="CF139" s="27" t="e">
        <f>IF(AND(CI139,NOT(AD139)),LOOKUP(CF$5,{0,750,1500},H139:J139),"")</f>
        <v>#N/A</v>
      </c>
      <c r="CG139" s="6" t="str">
        <f t="shared" si="168"/>
        <v/>
      </c>
      <c r="CH139" t="e">
        <f t="shared" si="161"/>
        <v>#N/A</v>
      </c>
      <c r="CI139" t="e">
        <f t="shared" si="162"/>
        <v>#N/A</v>
      </c>
      <c r="CJ139" s="6" t="e">
        <f t="shared" si="11"/>
        <v>#N/A</v>
      </c>
      <c r="CK139" s="6">
        <f t="shared" si="12"/>
        <v>1</v>
      </c>
      <c r="CL139" s="6">
        <f t="shared" si="26"/>
        <v>1</v>
      </c>
      <c r="CM139" s="6">
        <f t="shared" si="13"/>
        <v>1</v>
      </c>
      <c r="CN139" s="6">
        <f t="shared" si="14"/>
        <v>1</v>
      </c>
      <c r="CO139" s="6">
        <f t="shared" si="15"/>
        <v>1</v>
      </c>
      <c r="CP139" s="6">
        <f t="shared" si="16"/>
        <v>1</v>
      </c>
      <c r="CQ139" s="6">
        <f t="shared" si="163"/>
        <v>1</v>
      </c>
      <c r="CR139" s="81" t="str">
        <f t="shared" si="17"/>
        <v/>
      </c>
      <c r="CS139">
        <f t="shared" si="164"/>
        <v>0</v>
      </c>
      <c r="CT139">
        <f t="shared" si="19"/>
        <v>20</v>
      </c>
      <c r="CU139" t="str">
        <f t="shared" si="29"/>
        <v>rm</v>
      </c>
      <c r="CV139" s="81">
        <f t="shared" si="165"/>
        <v>240</v>
      </c>
      <c r="CW139" s="81">
        <f>(CV139/25)^1.5*(Calculator!$BU$4/10000)*CW$5</f>
        <v>76.803483157572401</v>
      </c>
      <c r="CX139" t="str">
        <f t="shared" si="166"/>
        <v>$20/rm</v>
      </c>
    </row>
    <row r="140" spans="2:102" x14ac:dyDescent="0.25">
      <c r="B140" s="115" t="s">
        <v>233</v>
      </c>
      <c r="C140" s="13">
        <v>46225.488888888889</v>
      </c>
      <c r="D140">
        <v>36619</v>
      </c>
      <c r="E140" s="54" t="s">
        <v>235</v>
      </c>
      <c r="F140" s="54" t="s">
        <v>1367</v>
      </c>
      <c r="G140" s="54" t="s">
        <v>1808</v>
      </c>
      <c r="H140" s="55">
        <v>19.7</v>
      </c>
      <c r="I140" s="55">
        <v>6.7</v>
      </c>
      <c r="J140" s="55">
        <v>12.7</v>
      </c>
      <c r="K140" s="54" t="s">
        <v>1809</v>
      </c>
      <c r="L140" s="56" t="b">
        <v>0</v>
      </c>
      <c r="M140" s="56" t="b">
        <v>0</v>
      </c>
      <c r="N140" s="54">
        <v>1</v>
      </c>
      <c r="O140" s="54" t="s">
        <v>228</v>
      </c>
      <c r="P140" s="54">
        <v>3</v>
      </c>
      <c r="Q140" s="54">
        <v>12</v>
      </c>
      <c r="R140" s="54" t="s">
        <v>1810</v>
      </c>
      <c r="S140" s="54" t="s">
        <v>1804</v>
      </c>
      <c r="T140" s="54"/>
      <c r="U140" s="54" t="s">
        <v>1793</v>
      </c>
      <c r="V140" s="54" t="s">
        <v>1813</v>
      </c>
      <c r="W140" s="54" t="b">
        <v>0</v>
      </c>
      <c r="X140" s="54"/>
      <c r="Y140" s="57" t="s">
        <v>1814</v>
      </c>
      <c r="Z140" s="54" t="s">
        <v>1804</v>
      </c>
      <c r="AA140" s="54"/>
      <c r="AB140" s="54" t="s">
        <v>1805</v>
      </c>
      <c r="AC140" s="56" t="b">
        <v>1</v>
      </c>
      <c r="AD140" s="56" t="b">
        <v>1</v>
      </c>
      <c r="AE140" s="54" t="s">
        <v>303</v>
      </c>
      <c r="AF140" s="58">
        <v>46225</v>
      </c>
      <c r="AG140" s="62" t="s">
        <v>293</v>
      </c>
      <c r="AH140" s="54">
        <v>0</v>
      </c>
      <c r="AI140" s="54">
        <v>1000</v>
      </c>
      <c r="AJ140" s="54"/>
      <c r="AK140" s="54"/>
      <c r="AL140" s="54"/>
      <c r="AM140" s="54">
        <v>0</v>
      </c>
      <c r="AN140" s="54">
        <v>-125</v>
      </c>
      <c r="AO140" s="54"/>
      <c r="AP140" s="54"/>
      <c r="AQ140" s="54"/>
      <c r="AR140" s="54"/>
      <c r="AS140" s="54"/>
      <c r="AT140" s="54"/>
      <c r="AU140" s="54"/>
      <c r="AV140" s="54"/>
      <c r="AW140" s="54"/>
      <c r="AX140" s="59"/>
      <c r="AY140" s="59"/>
      <c r="AZ140" s="59"/>
      <c r="BA140" s="59"/>
      <c r="BB140" s="59">
        <v>0.13603999999999999</v>
      </c>
      <c r="BC140" s="60"/>
      <c r="BD140" s="61"/>
      <c r="BE140" s="62" t="s">
        <v>293</v>
      </c>
      <c r="BF140" s="35">
        <f t="shared" si="0"/>
        <v>4.9000000000000004</v>
      </c>
      <c r="BG140" s="35">
        <f t="shared" si="0"/>
        <v>5.1461E-2</v>
      </c>
      <c r="BH140" s="35" t="str">
        <f t="shared" si="158"/>
        <v>High</v>
      </c>
      <c r="BI140" s="110">
        <f t="shared" si="159"/>
        <v>0</v>
      </c>
      <c r="BJ140" s="83" t="str">
        <f>VLOOKUP($F140,REP_Info!$D$6:$H$250,5,FALSE)</f>
        <v/>
      </c>
      <c r="BK140" s="30">
        <f t="shared" si="1"/>
        <v>19.7301</v>
      </c>
      <c r="BL140" s="30">
        <f t="shared" si="1"/>
        <v>6.7400999999999991</v>
      </c>
      <c r="BM140" s="30">
        <f t="shared" si="1"/>
        <v>12.745099999999999</v>
      </c>
      <c r="BN140" s="29">
        <f t="shared" ref="BK140:BN148" si="171">IF(BN$7&gt;0,(LOOKUP(BN$7,$AH140:$AL140,$AM140:$AQ140)+IF($AG140="Y",SUMPRODUCT($AX140:$BB140-$AW140:$BA140,BN$7-$AR140:$AV140,N(BN$7&gt;$AR140:$AV140)),BN$7*LOOKUP(BN$7,$AR140:$AV140,$AX140:$BB140))+IF($BE140="Y",$BF140,$BC140)+BN$7*IF($BE140="Y",$BG140,$BD140))*100/BN$7,"")</f>
        <v>14.746766666666668</v>
      </c>
      <c r="BO140" s="85" t="str">
        <f t="shared" si="2"/>
        <v>$$$</v>
      </c>
      <c r="BP140" s="88" t="str">
        <f t="shared" si="160"/>
        <v>$$$</v>
      </c>
      <c r="BQ140" s="88" t="str">
        <f t="shared" si="4"/>
        <v>$$$</v>
      </c>
      <c r="BR140" s="88" t="str">
        <f t="shared" si="5"/>
        <v>$$$</v>
      </c>
      <c r="BS140" s="29" t="e">
        <f t="shared" si="170"/>
        <v>#N/A</v>
      </c>
      <c r="BT140" s="29" t="e">
        <f t="shared" si="170"/>
        <v>#N/A</v>
      </c>
      <c r="BU140" s="29" t="e">
        <f t="shared" si="170"/>
        <v>#N/A</v>
      </c>
      <c r="BV140" s="29" t="e">
        <f t="shared" si="170"/>
        <v>#N/A</v>
      </c>
      <c r="BW140" s="29" t="e">
        <f t="shared" si="170"/>
        <v>#N/A</v>
      </c>
      <c r="BX140" s="29" t="e">
        <f t="shared" si="170"/>
        <v>#N/A</v>
      </c>
      <c r="BY140" s="29" t="e">
        <f t="shared" si="170"/>
        <v>#N/A</v>
      </c>
      <c r="BZ140" s="29" t="e">
        <f t="shared" si="170"/>
        <v>#N/A</v>
      </c>
      <c r="CA140" s="29" t="e">
        <f t="shared" si="170"/>
        <v>#N/A</v>
      </c>
      <c r="CB140" s="29" t="e">
        <f t="shared" si="170"/>
        <v>#N/A</v>
      </c>
      <c r="CC140" s="29" t="e">
        <f t="shared" si="170"/>
        <v>#N/A</v>
      </c>
      <c r="CD140" s="29" t="e">
        <f t="shared" si="170"/>
        <v>#N/A</v>
      </c>
      <c r="CE140" s="6" t="str">
        <f t="shared" si="167"/>
        <v/>
      </c>
      <c r="CF140" s="27" t="e">
        <f>IF(AND(CI140,NOT(AD140)),LOOKUP(CF$5,{0,750,1500},H140:J140),"")</f>
        <v>#N/A</v>
      </c>
      <c r="CG140" s="6" t="str">
        <f t="shared" si="168"/>
        <v/>
      </c>
      <c r="CH140" t="e">
        <f t="shared" si="161"/>
        <v>#N/A</v>
      </c>
      <c r="CI140" t="e">
        <f t="shared" si="162"/>
        <v>#N/A</v>
      </c>
      <c r="CJ140" s="6" t="e">
        <f t="shared" si="11"/>
        <v>#N/A</v>
      </c>
      <c r="CK140" s="6">
        <f t="shared" si="12"/>
        <v>1</v>
      </c>
      <c r="CL140" s="6">
        <f t="shared" si="26"/>
        <v>1</v>
      </c>
      <c r="CM140" s="6">
        <f t="shared" si="13"/>
        <v>1</v>
      </c>
      <c r="CN140" s="6">
        <f t="shared" si="14"/>
        <v>1</v>
      </c>
      <c r="CO140" s="6">
        <f t="shared" si="15"/>
        <v>1</v>
      </c>
      <c r="CP140" s="6">
        <f t="shared" si="16"/>
        <v>1</v>
      </c>
      <c r="CQ140" s="6">
        <f t="shared" si="163"/>
        <v>1</v>
      </c>
      <c r="CR140" s="81" t="str">
        <f t="shared" si="17"/>
        <v/>
      </c>
      <c r="CS140">
        <f t="shared" si="164"/>
        <v>0</v>
      </c>
      <c r="CT140">
        <f t="shared" si="19"/>
        <v>20</v>
      </c>
      <c r="CU140" t="str">
        <f t="shared" si="29"/>
        <v>rm</v>
      </c>
      <c r="CV140" s="81">
        <f t="shared" si="165"/>
        <v>240</v>
      </c>
      <c r="CW140" s="81">
        <f>(CV140/25)^1.5*(Calculator!$BU$4/10000)*CW$5</f>
        <v>76.803483157572401</v>
      </c>
      <c r="CX140" t="str">
        <f t="shared" si="166"/>
        <v>$20/rm</v>
      </c>
    </row>
    <row r="141" spans="2:102" x14ac:dyDescent="0.25">
      <c r="B141" s="115" t="s">
        <v>233</v>
      </c>
      <c r="C141" s="13">
        <v>46236.341666666667</v>
      </c>
      <c r="D141">
        <v>35882</v>
      </c>
      <c r="E141" s="54" t="s">
        <v>237</v>
      </c>
      <c r="F141" s="54" t="s">
        <v>520</v>
      </c>
      <c r="G141" s="54" t="s">
        <v>521</v>
      </c>
      <c r="H141" s="55">
        <v>12.3</v>
      </c>
      <c r="I141" s="55">
        <v>11.799999999999999</v>
      </c>
      <c r="J141" s="55">
        <v>11.600000000000001</v>
      </c>
      <c r="K141" s="54"/>
      <c r="L141" s="56" t="b">
        <v>0</v>
      </c>
      <c r="M141" s="56" t="b">
        <v>0</v>
      </c>
      <c r="N141" s="54">
        <v>1</v>
      </c>
      <c r="O141" s="54" t="s">
        <v>228</v>
      </c>
      <c r="P141" s="54">
        <v>30</v>
      </c>
      <c r="Q141" s="54">
        <v>12</v>
      </c>
      <c r="R141" s="54">
        <v>150</v>
      </c>
      <c r="S141" s="54" t="s">
        <v>522</v>
      </c>
      <c r="T141" s="54" t="s">
        <v>523</v>
      </c>
      <c r="U141" s="54" t="s">
        <v>524</v>
      </c>
      <c r="V141" s="54" t="s">
        <v>525</v>
      </c>
      <c r="W141" s="54" t="b">
        <v>0</v>
      </c>
      <c r="X141" s="54"/>
      <c r="Y141" s="57" t="s">
        <v>2162</v>
      </c>
      <c r="Z141" s="54" t="s">
        <v>526</v>
      </c>
      <c r="AA141" s="54"/>
      <c r="AB141" s="54" t="s">
        <v>527</v>
      </c>
      <c r="AC141" s="56" t="b">
        <v>1</v>
      </c>
      <c r="AD141" s="56" t="b">
        <v>0</v>
      </c>
      <c r="AE141" s="54" t="s">
        <v>303</v>
      </c>
      <c r="AF141" s="58">
        <v>46235</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5.4100000000000002E-2</v>
      </c>
      <c r="BC141" s="60">
        <v>4.0599999999999996</v>
      </c>
      <c r="BD141" s="61">
        <v>6.0295000000000001E-2</v>
      </c>
      <c r="BE141" s="62" t="s">
        <v>293</v>
      </c>
      <c r="BF141" s="35">
        <f t="shared" si="0"/>
        <v>4.0600000000000005</v>
      </c>
      <c r="BG141" s="35">
        <f t="shared" si="0"/>
        <v>6.0295000000000001E-2</v>
      </c>
      <c r="BH141" s="35" t="str">
        <f t="shared" si="158"/>
        <v>Low</v>
      </c>
      <c r="BI141" s="110">
        <f t="shared" si="159"/>
        <v>0</v>
      </c>
      <c r="BJ141" s="83" t="str">
        <f>VLOOKUP($F141,REP_Info!$D$6:$H$250,5,FALSE)</f>
        <v/>
      </c>
      <c r="BK141" s="30">
        <f t="shared" si="171"/>
        <v>12.2515</v>
      </c>
      <c r="BL141" s="30">
        <f t="shared" si="171"/>
        <v>11.845500000000001</v>
      </c>
      <c r="BM141" s="30">
        <f t="shared" si="171"/>
        <v>11.642500000000002</v>
      </c>
      <c r="BN141" s="29">
        <f t="shared" si="171"/>
        <v>11.574833333333334</v>
      </c>
      <c r="BO141" s="85" t="str">
        <f t="shared" si="2"/>
        <v>$$$</v>
      </c>
      <c r="BP141" s="88" t="str">
        <f t="shared" si="160"/>
        <v>$$$</v>
      </c>
      <c r="BQ141" s="88" t="str">
        <f t="shared" si="4"/>
        <v>$$$</v>
      </c>
      <c r="BR141" s="88" t="str">
        <f t="shared" si="5"/>
        <v>$$$</v>
      </c>
      <c r="BS141" s="29" t="e">
        <f t="shared" si="170"/>
        <v>#N/A</v>
      </c>
      <c r="BT141" s="29" t="e">
        <f t="shared" si="170"/>
        <v>#N/A</v>
      </c>
      <c r="BU141" s="29" t="e">
        <f t="shared" si="170"/>
        <v>#N/A</v>
      </c>
      <c r="BV141" s="29" t="e">
        <f t="shared" si="170"/>
        <v>#N/A</v>
      </c>
      <c r="BW141" s="29" t="e">
        <f t="shared" si="170"/>
        <v>#N/A</v>
      </c>
      <c r="BX141" s="29" t="e">
        <f t="shared" si="170"/>
        <v>#N/A</v>
      </c>
      <c r="BY141" s="29" t="e">
        <f t="shared" si="170"/>
        <v>#N/A</v>
      </c>
      <c r="BZ141" s="29" t="e">
        <f t="shared" si="170"/>
        <v>#N/A</v>
      </c>
      <c r="CA141" s="29" t="e">
        <f t="shared" si="170"/>
        <v>#N/A</v>
      </c>
      <c r="CB141" s="29" t="e">
        <f t="shared" si="170"/>
        <v>#N/A</v>
      </c>
      <c r="CC141" s="29" t="e">
        <f t="shared" si="170"/>
        <v>#N/A</v>
      </c>
      <c r="CD141" s="29" t="e">
        <f t="shared" si="170"/>
        <v>#N/A</v>
      </c>
      <c r="CE141" s="6" t="str">
        <f t="shared" si="167"/>
        <v/>
      </c>
      <c r="CF141" s="27" t="e">
        <f>IF(AND(CI141,NOT(AD141)),LOOKUP(CF$5,{0,750,1500},H141:J141),"")</f>
        <v>#N/A</v>
      </c>
      <c r="CG141" s="6" t="str">
        <f t="shared" si="168"/>
        <v/>
      </c>
      <c r="CH141" t="e">
        <f t="shared" si="161"/>
        <v>#N/A</v>
      </c>
      <c r="CI141" t="e">
        <f t="shared" si="162"/>
        <v>#N/A</v>
      </c>
      <c r="CJ141" s="6" t="e">
        <f t="shared" si="11"/>
        <v>#N/A</v>
      </c>
      <c r="CK141" s="6">
        <f t="shared" si="12"/>
        <v>1</v>
      </c>
      <c r="CL141" s="6">
        <f t="shared" si="26"/>
        <v>1</v>
      </c>
      <c r="CM141" s="6">
        <f t="shared" si="13"/>
        <v>1</v>
      </c>
      <c r="CN141" s="6">
        <f t="shared" si="14"/>
        <v>1</v>
      </c>
      <c r="CO141" s="6">
        <f t="shared" si="15"/>
        <v>1</v>
      </c>
      <c r="CP141" s="6">
        <f t="shared" si="16"/>
        <v>1</v>
      </c>
      <c r="CQ141" s="6">
        <f t="shared" si="163"/>
        <v>1</v>
      </c>
      <c r="CR141" s="81" t="str">
        <f t="shared" si="17"/>
        <v/>
      </c>
      <c r="CS141">
        <f t="shared" si="164"/>
        <v>0</v>
      </c>
      <c r="CT141">
        <f t="shared" si="19"/>
        <v>150</v>
      </c>
      <c r="CU141" t="str">
        <f t="shared" si="29"/>
        <v/>
      </c>
      <c r="CV141" s="81">
        <f t="shared" si="165"/>
        <v>150</v>
      </c>
      <c r="CW141" s="81">
        <f>(CV141/25)^1.5*(Calculator!$BU$4/10000)*CW$5</f>
        <v>37.949052970673385</v>
      </c>
      <c r="CX141" t="str">
        <f t="shared" si="166"/>
        <v>$150</v>
      </c>
    </row>
    <row r="142" spans="2:102" x14ac:dyDescent="0.25">
      <c r="B142" s="115" t="s">
        <v>233</v>
      </c>
      <c r="C142" s="13">
        <v>46232.244444444441</v>
      </c>
      <c r="D142">
        <v>35884</v>
      </c>
      <c r="E142" s="54" t="s">
        <v>235</v>
      </c>
      <c r="F142" s="54" t="s">
        <v>520</v>
      </c>
      <c r="G142" s="54" t="s">
        <v>521</v>
      </c>
      <c r="H142" s="55">
        <v>11.700000000000001</v>
      </c>
      <c r="I142" s="55">
        <v>11.200000000000001</v>
      </c>
      <c r="J142" s="55">
        <v>11</v>
      </c>
      <c r="K142" s="54"/>
      <c r="L142" s="56" t="b">
        <v>0</v>
      </c>
      <c r="M142" s="56" t="b">
        <v>0</v>
      </c>
      <c r="N142" s="54">
        <v>1</v>
      </c>
      <c r="O142" s="54" t="s">
        <v>228</v>
      </c>
      <c r="P142" s="54">
        <v>30</v>
      </c>
      <c r="Q142" s="54">
        <v>12</v>
      </c>
      <c r="R142" s="54">
        <v>150</v>
      </c>
      <c r="S142" s="54" t="s">
        <v>522</v>
      </c>
      <c r="T142" s="54" t="s">
        <v>523</v>
      </c>
      <c r="U142" s="54" t="s">
        <v>524</v>
      </c>
      <c r="V142" s="54" t="s">
        <v>525</v>
      </c>
      <c r="W142" s="54" t="b">
        <v>0</v>
      </c>
      <c r="X142" s="54"/>
      <c r="Y142" s="57" t="s">
        <v>2036</v>
      </c>
      <c r="Z142" s="54" t="s">
        <v>528</v>
      </c>
      <c r="AA142" s="54"/>
      <c r="AB142" s="54" t="s">
        <v>527</v>
      </c>
      <c r="AC142" s="56" t="b">
        <v>1</v>
      </c>
      <c r="AD142" s="56" t="b">
        <v>0</v>
      </c>
      <c r="AE142" s="54" t="s">
        <v>303</v>
      </c>
      <c r="AF142" s="58">
        <v>46232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5.6000000000000001E-2</v>
      </c>
      <c r="BC142" s="60">
        <v>4.9000000000000004</v>
      </c>
      <c r="BD142" s="61">
        <v>5.1461E-2</v>
      </c>
      <c r="BE142" s="62" t="s">
        <v>293</v>
      </c>
      <c r="BF142" s="35">
        <f t="shared" si="0"/>
        <v>4.9000000000000004</v>
      </c>
      <c r="BG142" s="35">
        <f t="shared" si="0"/>
        <v>5.1461E-2</v>
      </c>
      <c r="BH142" s="35" t="str">
        <f t="shared" si="158"/>
        <v>Low</v>
      </c>
      <c r="BI142" s="110">
        <f t="shared" si="159"/>
        <v>0</v>
      </c>
      <c r="BJ142" s="83" t="str">
        <f>VLOOKUP($F142,REP_Info!$D$6:$H$250,5,FALSE)</f>
        <v/>
      </c>
      <c r="BK142" s="30">
        <f t="shared" si="171"/>
        <v>11.726100000000001</v>
      </c>
      <c r="BL142" s="30">
        <f t="shared" si="171"/>
        <v>11.236099999999999</v>
      </c>
      <c r="BM142" s="30">
        <f t="shared" si="171"/>
        <v>10.991100000000001</v>
      </c>
      <c r="BN142" s="29">
        <f t="shared" si="171"/>
        <v>10.909433333333334</v>
      </c>
      <c r="BO142" s="85" t="str">
        <f t="shared" si="2"/>
        <v>$$$</v>
      </c>
      <c r="BP142" s="88" t="str">
        <f t="shared" si="160"/>
        <v>$$$</v>
      </c>
      <c r="BQ142" s="88" t="str">
        <f t="shared" si="4"/>
        <v>$$$</v>
      </c>
      <c r="BR142" s="88" t="str">
        <f t="shared" si="5"/>
        <v>$$$</v>
      </c>
      <c r="BS142" s="29" t="e">
        <f t="shared" si="170"/>
        <v>#N/A</v>
      </c>
      <c r="BT142" s="29" t="e">
        <f t="shared" si="170"/>
        <v>#N/A</v>
      </c>
      <c r="BU142" s="29" t="e">
        <f t="shared" si="170"/>
        <v>#N/A</v>
      </c>
      <c r="BV142" s="29" t="e">
        <f t="shared" si="170"/>
        <v>#N/A</v>
      </c>
      <c r="BW142" s="29" t="e">
        <f t="shared" si="170"/>
        <v>#N/A</v>
      </c>
      <c r="BX142" s="29" t="e">
        <f t="shared" si="170"/>
        <v>#N/A</v>
      </c>
      <c r="BY142" s="29" t="e">
        <f t="shared" si="170"/>
        <v>#N/A</v>
      </c>
      <c r="BZ142" s="29" t="e">
        <f t="shared" si="170"/>
        <v>#N/A</v>
      </c>
      <c r="CA142" s="29" t="e">
        <f t="shared" si="170"/>
        <v>#N/A</v>
      </c>
      <c r="CB142" s="29" t="e">
        <f t="shared" si="170"/>
        <v>#N/A</v>
      </c>
      <c r="CC142" s="29" t="e">
        <f t="shared" si="170"/>
        <v>#N/A</v>
      </c>
      <c r="CD142" s="29" t="e">
        <f t="shared" si="170"/>
        <v>#N/A</v>
      </c>
      <c r="CE142" s="6" t="str">
        <f t="shared" si="167"/>
        <v/>
      </c>
      <c r="CF142" s="27" t="e">
        <f>IF(AND(CI142,NOT(AD142)),LOOKUP(CF$5,{0,750,1500},H142:J142),"")</f>
        <v>#N/A</v>
      </c>
      <c r="CG142" s="6" t="str">
        <f t="shared" si="168"/>
        <v/>
      </c>
      <c r="CH142" t="e">
        <f t="shared" si="161"/>
        <v>#N/A</v>
      </c>
      <c r="CI142" t="e">
        <f t="shared" si="162"/>
        <v>#N/A</v>
      </c>
      <c r="CJ142" s="6" t="e">
        <f t="shared" si="11"/>
        <v>#N/A</v>
      </c>
      <c r="CK142" s="6">
        <f t="shared" si="12"/>
        <v>1</v>
      </c>
      <c r="CL142" s="6">
        <f t="shared" si="26"/>
        <v>1</v>
      </c>
      <c r="CM142" s="6">
        <f t="shared" si="13"/>
        <v>1</v>
      </c>
      <c r="CN142" s="6">
        <f t="shared" si="14"/>
        <v>1</v>
      </c>
      <c r="CO142" s="6">
        <f t="shared" si="15"/>
        <v>1</v>
      </c>
      <c r="CP142" s="6">
        <f t="shared" si="16"/>
        <v>1</v>
      </c>
      <c r="CQ142" s="6">
        <f t="shared" si="163"/>
        <v>1</v>
      </c>
      <c r="CR142" s="81" t="str">
        <f t="shared" si="17"/>
        <v/>
      </c>
      <c r="CS142">
        <f t="shared" si="164"/>
        <v>0</v>
      </c>
      <c r="CT142">
        <f t="shared" si="19"/>
        <v>150</v>
      </c>
      <c r="CU142" t="str">
        <f t="shared" si="29"/>
        <v/>
      </c>
      <c r="CV142" s="81">
        <f t="shared" si="165"/>
        <v>150</v>
      </c>
      <c r="CW142" s="81">
        <f>(CV142/25)^1.5*(Calculator!$BU$4/10000)*CW$5</f>
        <v>37.949052970673385</v>
      </c>
      <c r="CX142" t="str">
        <f t="shared" si="166"/>
        <v>$150</v>
      </c>
    </row>
    <row r="143" spans="2:102" x14ac:dyDescent="0.25">
      <c r="B143" s="115" t="s">
        <v>233</v>
      </c>
      <c r="C143" s="13">
        <v>46236.341666666667</v>
      </c>
      <c r="D143">
        <v>35895</v>
      </c>
      <c r="E143" s="54" t="s">
        <v>237</v>
      </c>
      <c r="F143" s="54" t="s">
        <v>520</v>
      </c>
      <c r="G143" s="54" t="s">
        <v>1967</v>
      </c>
      <c r="H143" s="55">
        <v>11.799999999999999</v>
      </c>
      <c r="I143" s="55">
        <v>11.3</v>
      </c>
      <c r="J143" s="55">
        <v>11.1</v>
      </c>
      <c r="K143" s="54"/>
      <c r="L143" s="56" t="b">
        <v>0</v>
      </c>
      <c r="M143" s="56" t="b">
        <v>0</v>
      </c>
      <c r="N143" s="54">
        <v>1</v>
      </c>
      <c r="O143" s="54" t="s">
        <v>228</v>
      </c>
      <c r="P143" s="54">
        <v>30</v>
      </c>
      <c r="Q143" s="54">
        <v>10</v>
      </c>
      <c r="R143" s="54">
        <v>150</v>
      </c>
      <c r="S143" s="54" t="s">
        <v>1968</v>
      </c>
      <c r="T143" s="54" t="s">
        <v>523</v>
      </c>
      <c r="U143" s="54" t="s">
        <v>524</v>
      </c>
      <c r="V143" s="54" t="s">
        <v>525</v>
      </c>
      <c r="W143" s="54" t="b">
        <v>0</v>
      </c>
      <c r="X143" s="54"/>
      <c r="Y143" s="57" t="s">
        <v>2163</v>
      </c>
      <c r="Z143" s="54" t="s">
        <v>1969</v>
      </c>
      <c r="AA143" s="54"/>
      <c r="AB143" s="54" t="s">
        <v>527</v>
      </c>
      <c r="AC143" s="56" t="b">
        <v>1</v>
      </c>
      <c r="AD143" s="56" t="b">
        <v>0</v>
      </c>
      <c r="AE143" s="54" t="s">
        <v>303</v>
      </c>
      <c r="AF143" s="58">
        <v>46235</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4.9099999999999998E-2</v>
      </c>
      <c r="BC143" s="60">
        <v>4.0599999999999996</v>
      </c>
      <c r="BD143" s="61">
        <v>6.0295000000000001E-2</v>
      </c>
      <c r="BE143" s="62" t="s">
        <v>293</v>
      </c>
      <c r="BF143" s="35">
        <f t="shared" si="0"/>
        <v>4.0600000000000005</v>
      </c>
      <c r="BG143" s="35">
        <f t="shared" si="0"/>
        <v>6.0295000000000001E-2</v>
      </c>
      <c r="BH143" s="35" t="str">
        <f t="shared" si="158"/>
        <v>Low</v>
      </c>
      <c r="BI143" s="110">
        <f t="shared" si="159"/>
        <v>0</v>
      </c>
      <c r="BJ143" s="83" t="str">
        <f>VLOOKUP($F143,REP_Info!$D$6:$H$250,5,FALSE)</f>
        <v/>
      </c>
      <c r="BK143" s="30">
        <f t="shared" si="171"/>
        <v>11.7515</v>
      </c>
      <c r="BL143" s="30">
        <f t="shared" si="171"/>
        <v>11.345499999999999</v>
      </c>
      <c r="BM143" s="30">
        <f t="shared" si="171"/>
        <v>11.1425</v>
      </c>
      <c r="BN143" s="29">
        <f t="shared" si="171"/>
        <v>11.074833333333334</v>
      </c>
      <c r="BO143" s="85" t="str">
        <f t="shared" si="2"/>
        <v>$$$</v>
      </c>
      <c r="BP143" s="88" t="str">
        <f t="shared" si="160"/>
        <v>$$$</v>
      </c>
      <c r="BQ143" s="88" t="str">
        <f t="shared" si="4"/>
        <v>$$$</v>
      </c>
      <c r="BR143" s="88" t="str">
        <f t="shared" si="5"/>
        <v>$$$</v>
      </c>
      <c r="BS143" s="29" t="e">
        <f t="shared" si="170"/>
        <v>#N/A</v>
      </c>
      <c r="BT143" s="29" t="e">
        <f t="shared" si="170"/>
        <v>#N/A</v>
      </c>
      <c r="BU143" s="29" t="e">
        <f t="shared" si="170"/>
        <v>#N/A</v>
      </c>
      <c r="BV143" s="29" t="e">
        <f t="shared" si="170"/>
        <v>#N/A</v>
      </c>
      <c r="BW143" s="29" t="e">
        <f t="shared" si="170"/>
        <v>#N/A</v>
      </c>
      <c r="BX143" s="29" t="e">
        <f t="shared" si="170"/>
        <v>#N/A</v>
      </c>
      <c r="BY143" s="29" t="e">
        <f t="shared" si="170"/>
        <v>#N/A</v>
      </c>
      <c r="BZ143" s="29" t="e">
        <f t="shared" si="170"/>
        <v>#N/A</v>
      </c>
      <c r="CA143" s="29" t="e">
        <f t="shared" si="170"/>
        <v>#N/A</v>
      </c>
      <c r="CB143" s="29" t="e">
        <f t="shared" si="170"/>
        <v>#N/A</v>
      </c>
      <c r="CC143" s="29" t="e">
        <f t="shared" si="170"/>
        <v>#N/A</v>
      </c>
      <c r="CD143" s="29" t="e">
        <f t="shared" si="170"/>
        <v>#N/A</v>
      </c>
      <c r="CE143" s="6" t="str">
        <f t="shared" si="167"/>
        <v/>
      </c>
      <c r="CF143" s="27" t="e">
        <f>IF(AND(CI143,NOT(AD143)),LOOKUP(CF$5,{0,750,1500},H143:J143),"")</f>
        <v>#N/A</v>
      </c>
      <c r="CG143" s="6" t="str">
        <f t="shared" si="168"/>
        <v/>
      </c>
      <c r="CH143" t="e">
        <f t="shared" si="161"/>
        <v>#N/A</v>
      </c>
      <c r="CI143" t="e">
        <f t="shared" si="162"/>
        <v>#N/A</v>
      </c>
      <c r="CJ143" s="6" t="e">
        <f t="shared" si="11"/>
        <v>#N/A</v>
      </c>
      <c r="CK143" s="6">
        <f t="shared" si="12"/>
        <v>1</v>
      </c>
      <c r="CL143" s="6">
        <f t="shared" si="26"/>
        <v>1</v>
      </c>
      <c r="CM143" s="6">
        <f t="shared" si="13"/>
        <v>1</v>
      </c>
      <c r="CN143" s="6">
        <f t="shared" si="14"/>
        <v>0</v>
      </c>
      <c r="CO143" s="6">
        <f t="shared" si="15"/>
        <v>1</v>
      </c>
      <c r="CP143" s="6">
        <f t="shared" si="16"/>
        <v>1</v>
      </c>
      <c r="CQ143" s="6">
        <f t="shared" si="163"/>
        <v>1</v>
      </c>
      <c r="CR143" s="81" t="str">
        <f t="shared" si="17"/>
        <v/>
      </c>
      <c r="CS143">
        <f t="shared" si="164"/>
        <v>3.5999999999999992</v>
      </c>
      <c r="CT143">
        <f t="shared" si="19"/>
        <v>150</v>
      </c>
      <c r="CU143" t="str">
        <f t="shared" si="29"/>
        <v/>
      </c>
      <c r="CV143" s="81">
        <f t="shared" si="165"/>
        <v>150</v>
      </c>
      <c r="CW143" s="81">
        <f>(CV143/25)^1.5*(Calculator!$BU$4/10000)*CW$5</f>
        <v>37.949052970673385</v>
      </c>
      <c r="CX143" t="str">
        <f t="shared" si="166"/>
        <v>$150</v>
      </c>
    </row>
    <row r="144" spans="2:102" x14ac:dyDescent="0.25">
      <c r="B144" s="115" t="s">
        <v>233</v>
      </c>
      <c r="C144" s="13">
        <v>46233.236805555556</v>
      </c>
      <c r="D144">
        <v>35897</v>
      </c>
      <c r="E144" s="54" t="s">
        <v>235</v>
      </c>
      <c r="F144" s="54" t="s">
        <v>520</v>
      </c>
      <c r="G144" s="54" t="s">
        <v>1967</v>
      </c>
      <c r="H144" s="55">
        <v>11.1</v>
      </c>
      <c r="I144" s="55">
        <v>10.6</v>
      </c>
      <c r="J144" s="55">
        <v>10.4</v>
      </c>
      <c r="K144" s="54"/>
      <c r="L144" s="56" t="b">
        <v>0</v>
      </c>
      <c r="M144" s="56" t="b">
        <v>0</v>
      </c>
      <c r="N144" s="54">
        <v>1</v>
      </c>
      <c r="O144" s="54" t="s">
        <v>228</v>
      </c>
      <c r="P144" s="54">
        <v>30</v>
      </c>
      <c r="Q144" s="54">
        <v>10</v>
      </c>
      <c r="R144" s="54">
        <v>150</v>
      </c>
      <c r="S144" s="54" t="s">
        <v>1968</v>
      </c>
      <c r="T144" s="54" t="s">
        <v>523</v>
      </c>
      <c r="U144" s="54" t="s">
        <v>524</v>
      </c>
      <c r="V144" s="54" t="s">
        <v>525</v>
      </c>
      <c r="W144" s="54" t="b">
        <v>0</v>
      </c>
      <c r="X144" s="54"/>
      <c r="Y144" s="57" t="s">
        <v>2153</v>
      </c>
      <c r="Z144" s="54" t="s">
        <v>1970</v>
      </c>
      <c r="AA144" s="54"/>
      <c r="AB144" s="54" t="s">
        <v>527</v>
      </c>
      <c r="AC144" s="56" t="b">
        <v>1</v>
      </c>
      <c r="AD144" s="56" t="b">
        <v>0</v>
      </c>
      <c r="AE144" s="54" t="s">
        <v>303</v>
      </c>
      <c r="AF144" s="58">
        <v>46233</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0.05</v>
      </c>
      <c r="BC144" s="60">
        <v>4.9000000000000004</v>
      </c>
      <c r="BD144" s="61">
        <v>5.1461E-2</v>
      </c>
      <c r="BE144" s="62" t="s">
        <v>293</v>
      </c>
      <c r="BF144" s="35">
        <f t="shared" si="0"/>
        <v>4.9000000000000004</v>
      </c>
      <c r="BG144" s="35">
        <f t="shared" si="0"/>
        <v>5.1461E-2</v>
      </c>
      <c r="BH144" s="35" t="str">
        <f t="shared" si="158"/>
        <v>Low</v>
      </c>
      <c r="BI144" s="110">
        <f t="shared" si="159"/>
        <v>0</v>
      </c>
      <c r="BJ144" s="83" t="str">
        <f>VLOOKUP($F144,REP_Info!$D$6:$H$250,5,FALSE)</f>
        <v/>
      </c>
      <c r="BK144" s="30">
        <f t="shared" si="171"/>
        <v>11.126100000000001</v>
      </c>
      <c r="BL144" s="30">
        <f t="shared" si="171"/>
        <v>10.636099999999999</v>
      </c>
      <c r="BM144" s="30">
        <f t="shared" si="171"/>
        <v>10.3911</v>
      </c>
      <c r="BN144" s="29">
        <f t="shared" si="171"/>
        <v>10.309433333333335</v>
      </c>
      <c r="BO144" s="85" t="str">
        <f t="shared" si="2"/>
        <v>$$$</v>
      </c>
      <c r="BP144" s="88" t="str">
        <f t="shared" si="160"/>
        <v>$$$</v>
      </c>
      <c r="BQ144" s="88" t="str">
        <f t="shared" si="4"/>
        <v>$$$</v>
      </c>
      <c r="BR144" s="88" t="str">
        <f t="shared" si="5"/>
        <v>$$$</v>
      </c>
      <c r="BS144" s="29" t="e">
        <f t="shared" si="170"/>
        <v>#N/A</v>
      </c>
      <c r="BT144" s="29" t="e">
        <f t="shared" si="170"/>
        <v>#N/A</v>
      </c>
      <c r="BU144" s="29" t="e">
        <f t="shared" si="170"/>
        <v>#N/A</v>
      </c>
      <c r="BV144" s="29" t="e">
        <f t="shared" si="170"/>
        <v>#N/A</v>
      </c>
      <c r="BW144" s="29" t="e">
        <f t="shared" si="170"/>
        <v>#N/A</v>
      </c>
      <c r="BX144" s="29" t="e">
        <f t="shared" si="170"/>
        <v>#N/A</v>
      </c>
      <c r="BY144" s="29" t="e">
        <f t="shared" si="170"/>
        <v>#N/A</v>
      </c>
      <c r="BZ144" s="29" t="e">
        <f t="shared" si="170"/>
        <v>#N/A</v>
      </c>
      <c r="CA144" s="29" t="e">
        <f t="shared" si="170"/>
        <v>#N/A</v>
      </c>
      <c r="CB144" s="29" t="e">
        <f t="shared" si="170"/>
        <v>#N/A</v>
      </c>
      <c r="CC144" s="29" t="e">
        <f t="shared" si="170"/>
        <v>#N/A</v>
      </c>
      <c r="CD144" s="29" t="e">
        <f t="shared" si="170"/>
        <v>#N/A</v>
      </c>
      <c r="CE144" s="6" t="str">
        <f t="shared" si="167"/>
        <v/>
      </c>
      <c r="CF144" s="27" t="e">
        <f>IF(AND(CI144,NOT(AD144)),LOOKUP(CF$5,{0,750,1500},H144:J144),"")</f>
        <v>#N/A</v>
      </c>
      <c r="CG144" s="6" t="str">
        <f t="shared" si="168"/>
        <v/>
      </c>
      <c r="CH144" t="e">
        <f t="shared" si="161"/>
        <v>#N/A</v>
      </c>
      <c r="CI144" t="e">
        <f t="shared" si="162"/>
        <v>#N/A</v>
      </c>
      <c r="CJ144" s="6" t="e">
        <f t="shared" si="11"/>
        <v>#N/A</v>
      </c>
      <c r="CK144" s="6">
        <f t="shared" si="12"/>
        <v>1</v>
      </c>
      <c r="CL144" s="6">
        <f t="shared" si="26"/>
        <v>1</v>
      </c>
      <c r="CM144" s="6">
        <f t="shared" si="13"/>
        <v>1</v>
      </c>
      <c r="CN144" s="6">
        <f t="shared" si="14"/>
        <v>0</v>
      </c>
      <c r="CO144" s="6">
        <f t="shared" si="15"/>
        <v>1</v>
      </c>
      <c r="CP144" s="6">
        <f t="shared" si="16"/>
        <v>1</v>
      </c>
      <c r="CQ144" s="6">
        <f t="shared" si="163"/>
        <v>1</v>
      </c>
      <c r="CR144" s="81" t="str">
        <f t="shared" si="17"/>
        <v/>
      </c>
      <c r="CS144">
        <f t="shared" si="164"/>
        <v>3.5999999999999992</v>
      </c>
      <c r="CT144">
        <f t="shared" si="19"/>
        <v>150</v>
      </c>
      <c r="CU144" t="str">
        <f t="shared" si="29"/>
        <v/>
      </c>
      <c r="CV144" s="81">
        <f t="shared" si="165"/>
        <v>150</v>
      </c>
      <c r="CW144" s="81">
        <f>(CV144/25)^1.5*(Calculator!$BU$4/10000)*CW$5</f>
        <v>37.949052970673385</v>
      </c>
      <c r="CX144" t="str">
        <f t="shared" si="166"/>
        <v>$150</v>
      </c>
    </row>
    <row r="145" spans="2:102" x14ac:dyDescent="0.25">
      <c r="B145" s="115" t="s">
        <v>233</v>
      </c>
      <c r="C145" s="13">
        <v>46236.341666666667</v>
      </c>
      <c r="D145">
        <v>31714</v>
      </c>
      <c r="E145" s="54" t="s">
        <v>237</v>
      </c>
      <c r="F145" s="54" t="s">
        <v>529</v>
      </c>
      <c r="G145" s="54" t="s">
        <v>530</v>
      </c>
      <c r="H145" s="55">
        <v>12.3</v>
      </c>
      <c r="I145" s="55">
        <v>11.799999999999999</v>
      </c>
      <c r="J145" s="55">
        <v>11.600000000000001</v>
      </c>
      <c r="K145" s="54"/>
      <c r="L145" s="56" t="b">
        <v>0</v>
      </c>
      <c r="M145" s="56" t="b">
        <v>0</v>
      </c>
      <c r="N145" s="54">
        <v>1</v>
      </c>
      <c r="O145" s="54" t="s">
        <v>228</v>
      </c>
      <c r="P145" s="54">
        <v>100</v>
      </c>
      <c r="Q145" s="54">
        <v>12</v>
      </c>
      <c r="R145" s="54">
        <v>150</v>
      </c>
      <c r="S145" s="54" t="s">
        <v>531</v>
      </c>
      <c r="T145" s="54" t="s">
        <v>1972</v>
      </c>
      <c r="U145" s="54" t="s">
        <v>532</v>
      </c>
      <c r="V145" s="54" t="s">
        <v>533</v>
      </c>
      <c r="W145" s="54" t="b">
        <v>0</v>
      </c>
      <c r="X145" s="54"/>
      <c r="Y145" s="57" t="s">
        <v>2164</v>
      </c>
      <c r="Z145" s="54" t="s">
        <v>534</v>
      </c>
      <c r="AA145" s="54"/>
      <c r="AB145" s="54" t="s">
        <v>535</v>
      </c>
      <c r="AC145" s="56" t="b">
        <v>1</v>
      </c>
      <c r="AD145" s="56" t="b">
        <v>0</v>
      </c>
      <c r="AE145" s="54" t="s">
        <v>303</v>
      </c>
      <c r="AF145" s="58">
        <v>46235</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5.4100000000000002E-2</v>
      </c>
      <c r="BC145" s="60">
        <v>4.0599999999999996</v>
      </c>
      <c r="BD145" s="61">
        <v>6.0295000000000001E-2</v>
      </c>
      <c r="BE145" s="62" t="s">
        <v>293</v>
      </c>
      <c r="BF145" s="35">
        <f t="shared" si="0"/>
        <v>4.0600000000000005</v>
      </c>
      <c r="BG145" s="35">
        <f t="shared" si="0"/>
        <v>6.0295000000000001E-2</v>
      </c>
      <c r="BH145" s="35" t="str">
        <f t="shared" si="158"/>
        <v>Low</v>
      </c>
      <c r="BI145" s="110">
        <f t="shared" si="159"/>
        <v>0</v>
      </c>
      <c r="BJ145" s="83">
        <f>VLOOKUP($F145,REP_Info!$D$6:$H$250,5,FALSE)</f>
        <v>1.165</v>
      </c>
      <c r="BK145" s="30">
        <f t="shared" si="171"/>
        <v>12.2515</v>
      </c>
      <c r="BL145" s="30">
        <f t="shared" si="171"/>
        <v>11.845500000000001</v>
      </c>
      <c r="BM145" s="30">
        <f t="shared" si="171"/>
        <v>11.642500000000002</v>
      </c>
      <c r="BN145" s="29">
        <f t="shared" si="171"/>
        <v>11.574833333333334</v>
      </c>
      <c r="BO145" s="85" t="str">
        <f t="shared" si="2"/>
        <v>$$$</v>
      </c>
      <c r="BP145" s="88" t="str">
        <f t="shared" si="160"/>
        <v>$$$</v>
      </c>
      <c r="BQ145" s="88" t="str">
        <f t="shared" si="4"/>
        <v>$$$</v>
      </c>
      <c r="BR145" s="88" t="str">
        <f t="shared" si="5"/>
        <v>$$$</v>
      </c>
      <c r="BS145" s="29" t="e">
        <f t="shared" si="170"/>
        <v>#N/A</v>
      </c>
      <c r="BT145" s="29" t="e">
        <f t="shared" si="170"/>
        <v>#N/A</v>
      </c>
      <c r="BU145" s="29" t="e">
        <f t="shared" si="170"/>
        <v>#N/A</v>
      </c>
      <c r="BV145" s="29" t="e">
        <f t="shared" si="170"/>
        <v>#N/A</v>
      </c>
      <c r="BW145" s="29" t="e">
        <f t="shared" si="170"/>
        <v>#N/A</v>
      </c>
      <c r="BX145" s="29" t="e">
        <f t="shared" si="170"/>
        <v>#N/A</v>
      </c>
      <c r="BY145" s="29" t="e">
        <f t="shared" si="170"/>
        <v>#N/A</v>
      </c>
      <c r="BZ145" s="29" t="e">
        <f t="shared" si="170"/>
        <v>#N/A</v>
      </c>
      <c r="CA145" s="29" t="e">
        <f t="shared" si="170"/>
        <v>#N/A</v>
      </c>
      <c r="CB145" s="29" t="e">
        <f t="shared" ref="BS145:CD148" si="172">IF($CI145,IF(CB$7&gt;0,IF(CB$4&gt;$Q145,$BF145+CB$7*(CB$5+$BG145+$BI145),LOOKUP(CB$7,$AH145:$AL145,$AM145:$AQ145)+IF($AG145="Y",SUMPRODUCT($AX145:$BB145-$AW145:$BA145,CB$7-$AR145:$AV145,N(CB$7&gt;$AR145:$AV145)),CB$7*LOOKUP(CB$7,$AR145:$AV145,$AX145:$BB145))+IF($BE145="Y",$BF145,$BC145)+CB$7*IF($BE145="Y",$BG145,$BD145))*100/CB$7,""),NA())</f>
        <v>#N/A</v>
      </c>
      <c r="CC145" s="29" t="e">
        <f t="shared" si="172"/>
        <v>#N/A</v>
      </c>
      <c r="CD145" s="29" t="e">
        <f t="shared" si="172"/>
        <v>#N/A</v>
      </c>
      <c r="CE145" s="6" t="str">
        <f t="shared" si="167"/>
        <v/>
      </c>
      <c r="CF145" s="27" t="e">
        <f>IF(AND(CI145,NOT(AD145)),LOOKUP(CF$5,{0,750,1500},H145:J145),"")</f>
        <v>#N/A</v>
      </c>
      <c r="CG145" s="6" t="str">
        <f t="shared" si="168"/>
        <v/>
      </c>
      <c r="CH145" t="e">
        <f t="shared" si="161"/>
        <v>#N/A</v>
      </c>
      <c r="CI145" t="e">
        <f t="shared" si="162"/>
        <v>#N/A</v>
      </c>
      <c r="CJ145" s="6" t="e">
        <f t="shared" si="11"/>
        <v>#N/A</v>
      </c>
      <c r="CK145" s="6">
        <f t="shared" si="12"/>
        <v>1</v>
      </c>
      <c r="CL145" s="6">
        <f t="shared" si="26"/>
        <v>1</v>
      </c>
      <c r="CM145" s="6">
        <f t="shared" si="13"/>
        <v>1</v>
      </c>
      <c r="CN145" s="6">
        <f t="shared" si="14"/>
        <v>1</v>
      </c>
      <c r="CO145" s="6">
        <f t="shared" si="15"/>
        <v>1</v>
      </c>
      <c r="CP145" s="6">
        <f t="shared" si="16"/>
        <v>1</v>
      </c>
      <c r="CQ145" s="6">
        <f t="shared" si="163"/>
        <v>1</v>
      </c>
      <c r="CR145" s="81" t="str">
        <f t="shared" si="17"/>
        <v/>
      </c>
      <c r="CS145">
        <f t="shared" si="164"/>
        <v>0</v>
      </c>
      <c r="CT145">
        <f t="shared" si="19"/>
        <v>150</v>
      </c>
      <c r="CU145" t="str">
        <f t="shared" si="29"/>
        <v/>
      </c>
      <c r="CV145" s="81">
        <f t="shared" si="165"/>
        <v>150</v>
      </c>
      <c r="CW145" s="81">
        <f>(CV145/25)^1.5*(Calculator!$BU$4/10000)*CW$5</f>
        <v>37.949052970673385</v>
      </c>
      <c r="CX145" t="str">
        <f t="shared" si="166"/>
        <v>$150</v>
      </c>
    </row>
    <row r="146" spans="2:102" x14ac:dyDescent="0.25">
      <c r="B146" s="115" t="s">
        <v>233</v>
      </c>
      <c r="C146" s="13">
        <v>46232.244444444441</v>
      </c>
      <c r="D146">
        <v>31716</v>
      </c>
      <c r="E146" s="54" t="s">
        <v>235</v>
      </c>
      <c r="F146" s="54" t="s">
        <v>529</v>
      </c>
      <c r="G146" s="54" t="s">
        <v>530</v>
      </c>
      <c r="H146" s="55">
        <v>11.700000000000001</v>
      </c>
      <c r="I146" s="55">
        <v>11.200000000000001</v>
      </c>
      <c r="J146" s="55">
        <v>11</v>
      </c>
      <c r="K146" s="54"/>
      <c r="L146" s="56" t="b">
        <v>0</v>
      </c>
      <c r="M146" s="56" t="b">
        <v>0</v>
      </c>
      <c r="N146" s="54">
        <v>1</v>
      </c>
      <c r="O146" s="54" t="s">
        <v>228</v>
      </c>
      <c r="P146" s="54">
        <v>100</v>
      </c>
      <c r="Q146" s="54">
        <v>12</v>
      </c>
      <c r="R146" s="54">
        <v>150</v>
      </c>
      <c r="S146" s="54" t="s">
        <v>531</v>
      </c>
      <c r="T146" s="54" t="s">
        <v>1972</v>
      </c>
      <c r="U146" s="54" t="s">
        <v>532</v>
      </c>
      <c r="V146" s="54" t="s">
        <v>533</v>
      </c>
      <c r="W146" s="54" t="b">
        <v>0</v>
      </c>
      <c r="X146" s="54"/>
      <c r="Y146" s="57" t="s">
        <v>2037</v>
      </c>
      <c r="Z146" s="54" t="s">
        <v>536</v>
      </c>
      <c r="AA146" s="54"/>
      <c r="AB146" s="54" t="s">
        <v>535</v>
      </c>
      <c r="AC146" s="56" t="b">
        <v>1</v>
      </c>
      <c r="AD146" s="56" t="b">
        <v>0</v>
      </c>
      <c r="AE146" s="54" t="s">
        <v>303</v>
      </c>
      <c r="AF146" s="58">
        <v>46232</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5.6000000000000001E-2</v>
      </c>
      <c r="BC146" s="60">
        <v>4.9000000000000004</v>
      </c>
      <c r="BD146" s="61">
        <v>5.1461E-2</v>
      </c>
      <c r="BE146" s="62" t="s">
        <v>293</v>
      </c>
      <c r="BF146" s="35">
        <f t="shared" si="0"/>
        <v>4.9000000000000004</v>
      </c>
      <c r="BG146" s="35">
        <f t="shared" si="0"/>
        <v>5.1461E-2</v>
      </c>
      <c r="BH146" s="35" t="str">
        <f t="shared" si="158"/>
        <v>Low</v>
      </c>
      <c r="BI146" s="110">
        <f t="shared" si="159"/>
        <v>0</v>
      </c>
      <c r="BJ146" s="83">
        <f>VLOOKUP($F146,REP_Info!$D$6:$H$250,5,FALSE)</f>
        <v>1.165</v>
      </c>
      <c r="BK146" s="30">
        <f t="shared" si="171"/>
        <v>11.726100000000001</v>
      </c>
      <c r="BL146" s="30">
        <f t="shared" si="171"/>
        <v>11.236099999999999</v>
      </c>
      <c r="BM146" s="30">
        <f t="shared" si="171"/>
        <v>10.991100000000001</v>
      </c>
      <c r="BN146" s="29">
        <f t="shared" si="171"/>
        <v>10.909433333333334</v>
      </c>
      <c r="BO146" s="85" t="str">
        <f t="shared" si="2"/>
        <v>$$$</v>
      </c>
      <c r="BP146" s="88" t="str">
        <f t="shared" si="160"/>
        <v>$$$</v>
      </c>
      <c r="BQ146" s="88" t="str">
        <f t="shared" si="4"/>
        <v>$$$</v>
      </c>
      <c r="BR146" s="88" t="str">
        <f t="shared" si="5"/>
        <v>$$$</v>
      </c>
      <c r="BS146" s="29" t="e">
        <f t="shared" si="172"/>
        <v>#N/A</v>
      </c>
      <c r="BT146" s="29" t="e">
        <f t="shared" si="172"/>
        <v>#N/A</v>
      </c>
      <c r="BU146" s="29" t="e">
        <f t="shared" si="172"/>
        <v>#N/A</v>
      </c>
      <c r="BV146" s="29" t="e">
        <f t="shared" si="172"/>
        <v>#N/A</v>
      </c>
      <c r="BW146" s="29" t="e">
        <f t="shared" si="172"/>
        <v>#N/A</v>
      </c>
      <c r="BX146" s="29" t="e">
        <f t="shared" si="172"/>
        <v>#N/A</v>
      </c>
      <c r="BY146" s="29" t="e">
        <f t="shared" si="172"/>
        <v>#N/A</v>
      </c>
      <c r="BZ146" s="29" t="e">
        <f t="shared" si="172"/>
        <v>#N/A</v>
      </c>
      <c r="CA146" s="29" t="e">
        <f t="shared" si="172"/>
        <v>#N/A</v>
      </c>
      <c r="CB146" s="29" t="e">
        <f t="shared" si="172"/>
        <v>#N/A</v>
      </c>
      <c r="CC146" s="29" t="e">
        <f t="shared" si="172"/>
        <v>#N/A</v>
      </c>
      <c r="CD146" s="29" t="e">
        <f t="shared" si="172"/>
        <v>#N/A</v>
      </c>
      <c r="CE146" s="6" t="str">
        <f t="shared" si="167"/>
        <v/>
      </c>
      <c r="CF146" s="27" t="e">
        <f>IF(AND(CI146,NOT(AD146)),LOOKUP(CF$5,{0,750,1500},H146:J146),"")</f>
        <v>#N/A</v>
      </c>
      <c r="CG146" s="6" t="str">
        <f t="shared" si="168"/>
        <v/>
      </c>
      <c r="CH146" t="e">
        <f t="shared" si="161"/>
        <v>#N/A</v>
      </c>
      <c r="CI146" t="e">
        <f t="shared" si="162"/>
        <v>#N/A</v>
      </c>
      <c r="CJ146" s="6" t="e">
        <f t="shared" si="11"/>
        <v>#N/A</v>
      </c>
      <c r="CK146" s="6">
        <f t="shared" si="12"/>
        <v>1</v>
      </c>
      <c r="CL146" s="6">
        <f t="shared" si="26"/>
        <v>1</v>
      </c>
      <c r="CM146" s="6">
        <f t="shared" si="13"/>
        <v>1</v>
      </c>
      <c r="CN146" s="6">
        <f t="shared" si="14"/>
        <v>1</v>
      </c>
      <c r="CO146" s="6">
        <f t="shared" si="15"/>
        <v>1</v>
      </c>
      <c r="CP146" s="6">
        <f t="shared" si="16"/>
        <v>1</v>
      </c>
      <c r="CQ146" s="6">
        <f t="shared" si="163"/>
        <v>1</v>
      </c>
      <c r="CR146" s="81" t="str">
        <f t="shared" si="17"/>
        <v/>
      </c>
      <c r="CS146">
        <f t="shared" si="164"/>
        <v>0</v>
      </c>
      <c r="CT146">
        <f t="shared" si="19"/>
        <v>150</v>
      </c>
      <c r="CU146" t="str">
        <f t="shared" si="29"/>
        <v/>
      </c>
      <c r="CV146" s="81">
        <f t="shared" si="165"/>
        <v>150</v>
      </c>
      <c r="CW146" s="81">
        <f>(CV146/25)^1.5*(Calculator!$BU$4/10000)*CW$5</f>
        <v>37.949052970673385</v>
      </c>
      <c r="CX146" t="str">
        <f t="shared" si="166"/>
        <v>$150</v>
      </c>
    </row>
    <row r="147" spans="2:102" x14ac:dyDescent="0.25">
      <c r="B147" s="115" t="s">
        <v>233</v>
      </c>
      <c r="C147" s="13">
        <v>46236.341666666667</v>
      </c>
      <c r="D147">
        <v>35918</v>
      </c>
      <c r="E147" s="54" t="s">
        <v>237</v>
      </c>
      <c r="F147" s="54" t="s">
        <v>529</v>
      </c>
      <c r="G147" s="54" t="s">
        <v>1971</v>
      </c>
      <c r="H147" s="55">
        <v>11.799999999999999</v>
      </c>
      <c r="I147" s="55">
        <v>11.3</v>
      </c>
      <c r="J147" s="55">
        <v>11.1</v>
      </c>
      <c r="K147" s="54"/>
      <c r="L147" s="56" t="b">
        <v>0</v>
      </c>
      <c r="M147" s="56" t="b">
        <v>0</v>
      </c>
      <c r="N147" s="54">
        <v>1</v>
      </c>
      <c r="O147" s="54" t="s">
        <v>228</v>
      </c>
      <c r="P147" s="54">
        <v>100</v>
      </c>
      <c r="Q147" s="54">
        <v>10</v>
      </c>
      <c r="R147" s="54">
        <v>150</v>
      </c>
      <c r="S147" s="54" t="s">
        <v>531</v>
      </c>
      <c r="T147" s="54" t="s">
        <v>1972</v>
      </c>
      <c r="U147" s="54" t="s">
        <v>532</v>
      </c>
      <c r="V147" s="54" t="s">
        <v>533</v>
      </c>
      <c r="W147" s="54" t="b">
        <v>0</v>
      </c>
      <c r="X147" s="54"/>
      <c r="Y147" s="57" t="s">
        <v>2165</v>
      </c>
      <c r="Z147" s="54" t="s">
        <v>1973</v>
      </c>
      <c r="AA147" s="54"/>
      <c r="AB147" s="54" t="s">
        <v>535</v>
      </c>
      <c r="AC147" s="56" t="b">
        <v>1</v>
      </c>
      <c r="AD147" s="56" t="b">
        <v>0</v>
      </c>
      <c r="AE147" s="54" t="s">
        <v>303</v>
      </c>
      <c r="AF147" s="58">
        <v>46235</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4.9099999999999998E-2</v>
      </c>
      <c r="BC147" s="60">
        <v>4.0599999999999996</v>
      </c>
      <c r="BD147" s="61">
        <v>6.0295000000000001E-2</v>
      </c>
      <c r="BE147" s="62" t="s">
        <v>293</v>
      </c>
      <c r="BF147" s="35">
        <f t="shared" si="0"/>
        <v>4.0600000000000005</v>
      </c>
      <c r="BG147" s="35">
        <f t="shared" si="0"/>
        <v>6.0295000000000001E-2</v>
      </c>
      <c r="BH147" s="35" t="str">
        <f t="shared" si="158"/>
        <v>Low</v>
      </c>
      <c r="BI147" s="110">
        <f t="shared" si="159"/>
        <v>0</v>
      </c>
      <c r="BJ147" s="83">
        <f>VLOOKUP($F147,REP_Info!$D$6:$H$250,5,FALSE)</f>
        <v>1.165</v>
      </c>
      <c r="BK147" s="30">
        <f t="shared" si="171"/>
        <v>11.7515</v>
      </c>
      <c r="BL147" s="30">
        <f t="shared" si="171"/>
        <v>11.345499999999999</v>
      </c>
      <c r="BM147" s="30">
        <f t="shared" si="171"/>
        <v>11.1425</v>
      </c>
      <c r="BN147" s="29">
        <f t="shared" si="171"/>
        <v>11.074833333333334</v>
      </c>
      <c r="BO147" s="85" t="str">
        <f t="shared" si="2"/>
        <v>$$$</v>
      </c>
      <c r="BP147" s="88" t="str">
        <f t="shared" si="160"/>
        <v>$$$</v>
      </c>
      <c r="BQ147" s="88" t="str">
        <f t="shared" si="4"/>
        <v>$$$</v>
      </c>
      <c r="BR147" s="88" t="str">
        <f t="shared" si="5"/>
        <v>$$$</v>
      </c>
      <c r="BS147" s="29" t="e">
        <f t="shared" si="172"/>
        <v>#N/A</v>
      </c>
      <c r="BT147" s="29" t="e">
        <f t="shared" si="172"/>
        <v>#N/A</v>
      </c>
      <c r="BU147" s="29" t="e">
        <f t="shared" si="172"/>
        <v>#N/A</v>
      </c>
      <c r="BV147" s="29" t="e">
        <f t="shared" si="172"/>
        <v>#N/A</v>
      </c>
      <c r="BW147" s="29" t="e">
        <f t="shared" si="172"/>
        <v>#N/A</v>
      </c>
      <c r="BX147" s="29" t="e">
        <f t="shared" si="172"/>
        <v>#N/A</v>
      </c>
      <c r="BY147" s="29" t="e">
        <f t="shared" si="172"/>
        <v>#N/A</v>
      </c>
      <c r="BZ147" s="29" t="e">
        <f t="shared" si="172"/>
        <v>#N/A</v>
      </c>
      <c r="CA147" s="29" t="e">
        <f t="shared" si="172"/>
        <v>#N/A</v>
      </c>
      <c r="CB147" s="29" t="e">
        <f t="shared" si="172"/>
        <v>#N/A</v>
      </c>
      <c r="CC147" s="29" t="e">
        <f t="shared" si="172"/>
        <v>#N/A</v>
      </c>
      <c r="CD147" s="29" t="e">
        <f t="shared" si="172"/>
        <v>#N/A</v>
      </c>
      <c r="CE147" s="6" t="str">
        <f t="shared" si="167"/>
        <v/>
      </c>
      <c r="CF147" s="27" t="e">
        <f>IF(AND(CI147,NOT(AD147)),LOOKUP(CF$5,{0,750,1500},H147:J147),"")</f>
        <v>#N/A</v>
      </c>
      <c r="CG147" s="6" t="str">
        <f t="shared" si="168"/>
        <v/>
      </c>
      <c r="CH147" t="e">
        <f t="shared" si="161"/>
        <v>#N/A</v>
      </c>
      <c r="CI147" t="e">
        <f t="shared" si="162"/>
        <v>#N/A</v>
      </c>
      <c r="CJ147" s="6" t="e">
        <f t="shared" si="11"/>
        <v>#N/A</v>
      </c>
      <c r="CK147" s="6">
        <f t="shared" si="12"/>
        <v>1</v>
      </c>
      <c r="CL147" s="6">
        <f t="shared" si="26"/>
        <v>1</v>
      </c>
      <c r="CM147" s="6">
        <f t="shared" si="13"/>
        <v>1</v>
      </c>
      <c r="CN147" s="6">
        <f t="shared" si="14"/>
        <v>0</v>
      </c>
      <c r="CO147" s="6">
        <f t="shared" si="15"/>
        <v>1</v>
      </c>
      <c r="CP147" s="6">
        <f t="shared" si="16"/>
        <v>1</v>
      </c>
      <c r="CQ147" s="6">
        <f t="shared" si="163"/>
        <v>1</v>
      </c>
      <c r="CR147" s="81" t="str">
        <f t="shared" si="17"/>
        <v/>
      </c>
      <c r="CS147">
        <f t="shared" si="164"/>
        <v>3.5999999999999992</v>
      </c>
      <c r="CT147">
        <f t="shared" si="19"/>
        <v>150</v>
      </c>
      <c r="CU147" t="str">
        <f t="shared" si="29"/>
        <v/>
      </c>
      <c r="CV147" s="81">
        <f t="shared" si="165"/>
        <v>150</v>
      </c>
      <c r="CW147" s="81">
        <f>(CV147/25)^1.5*(Calculator!$BU$4/10000)*CW$5</f>
        <v>37.949052970673385</v>
      </c>
      <c r="CX147" t="str">
        <f t="shared" si="166"/>
        <v>$150</v>
      </c>
    </row>
    <row r="148" spans="2:102" x14ac:dyDescent="0.25">
      <c r="B148" s="115" t="s">
        <v>233</v>
      </c>
      <c r="C148" s="13">
        <v>46233.236805555556</v>
      </c>
      <c r="D148">
        <v>35920</v>
      </c>
      <c r="E148" s="54" t="s">
        <v>235</v>
      </c>
      <c r="F148" s="54" t="s">
        <v>529</v>
      </c>
      <c r="G148" s="54" t="s">
        <v>1971</v>
      </c>
      <c r="H148" s="55">
        <v>11.1</v>
      </c>
      <c r="I148" s="55">
        <v>10.6</v>
      </c>
      <c r="J148" s="55">
        <v>10.4</v>
      </c>
      <c r="K148" s="54"/>
      <c r="L148" s="56" t="b">
        <v>0</v>
      </c>
      <c r="M148" s="56" t="b">
        <v>0</v>
      </c>
      <c r="N148" s="54">
        <v>1</v>
      </c>
      <c r="O148" s="54" t="s">
        <v>228</v>
      </c>
      <c r="P148" s="54">
        <v>100</v>
      </c>
      <c r="Q148" s="54">
        <v>10</v>
      </c>
      <c r="R148" s="54">
        <v>150</v>
      </c>
      <c r="S148" s="54" t="s">
        <v>531</v>
      </c>
      <c r="T148" s="54" t="s">
        <v>1972</v>
      </c>
      <c r="U148" s="54" t="s">
        <v>532</v>
      </c>
      <c r="V148" s="54" t="s">
        <v>533</v>
      </c>
      <c r="W148" s="54" t="b">
        <v>0</v>
      </c>
      <c r="X148" s="54"/>
      <c r="Y148" s="57" t="s">
        <v>2154</v>
      </c>
      <c r="Z148" s="54" t="s">
        <v>1974</v>
      </c>
      <c r="AA148" s="54"/>
      <c r="AB148" s="54" t="s">
        <v>535</v>
      </c>
      <c r="AC148" s="56" t="b">
        <v>1</v>
      </c>
      <c r="AD148" s="56" t="b">
        <v>0</v>
      </c>
      <c r="AE148" s="54" t="s">
        <v>303</v>
      </c>
      <c r="AF148" s="58">
        <v>46233</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0.05</v>
      </c>
      <c r="BC148" s="60">
        <v>4.9000000000000004</v>
      </c>
      <c r="BD148" s="61">
        <v>5.1461E-2</v>
      </c>
      <c r="BE148" s="62" t="s">
        <v>293</v>
      </c>
      <c r="BF148" s="35">
        <f t="shared" si="0"/>
        <v>4.9000000000000004</v>
      </c>
      <c r="BG148" s="35">
        <f t="shared" si="0"/>
        <v>5.1461E-2</v>
      </c>
      <c r="BH148" s="35" t="str">
        <f t="shared" si="158"/>
        <v>Low</v>
      </c>
      <c r="BI148" s="110">
        <f t="shared" si="159"/>
        <v>0</v>
      </c>
      <c r="BJ148" s="83">
        <f>VLOOKUP($F148,REP_Info!$D$6:$H$250,5,FALSE)</f>
        <v>1.165</v>
      </c>
      <c r="BK148" s="30">
        <f t="shared" si="171"/>
        <v>11.126100000000001</v>
      </c>
      <c r="BL148" s="30">
        <f t="shared" si="171"/>
        <v>10.636099999999999</v>
      </c>
      <c r="BM148" s="30">
        <f t="shared" si="171"/>
        <v>10.3911</v>
      </c>
      <c r="BN148" s="29">
        <f t="shared" si="171"/>
        <v>10.309433333333335</v>
      </c>
      <c r="BO148" s="85" t="str">
        <f t="shared" si="2"/>
        <v>$$$</v>
      </c>
      <c r="BP148" s="88" t="str">
        <f t="shared" si="160"/>
        <v>$$$</v>
      </c>
      <c r="BQ148" s="88" t="str">
        <f t="shared" si="4"/>
        <v>$$$</v>
      </c>
      <c r="BR148" s="88" t="str">
        <f t="shared" si="5"/>
        <v>$$$</v>
      </c>
      <c r="BS148" s="29" t="e">
        <f t="shared" si="172"/>
        <v>#N/A</v>
      </c>
      <c r="BT148" s="29" t="e">
        <f t="shared" si="172"/>
        <v>#N/A</v>
      </c>
      <c r="BU148" s="29" t="e">
        <f t="shared" si="172"/>
        <v>#N/A</v>
      </c>
      <c r="BV148" s="29" t="e">
        <f t="shared" si="172"/>
        <v>#N/A</v>
      </c>
      <c r="BW148" s="29" t="e">
        <f t="shared" si="172"/>
        <v>#N/A</v>
      </c>
      <c r="BX148" s="29" t="e">
        <f t="shared" si="172"/>
        <v>#N/A</v>
      </c>
      <c r="BY148" s="29" t="e">
        <f t="shared" si="172"/>
        <v>#N/A</v>
      </c>
      <c r="BZ148" s="29" t="e">
        <f t="shared" si="172"/>
        <v>#N/A</v>
      </c>
      <c r="CA148" s="29" t="e">
        <f t="shared" si="172"/>
        <v>#N/A</v>
      </c>
      <c r="CB148" s="29" t="e">
        <f t="shared" si="172"/>
        <v>#N/A</v>
      </c>
      <c r="CC148" s="29" t="e">
        <f t="shared" si="172"/>
        <v>#N/A</v>
      </c>
      <c r="CD148" s="29" t="e">
        <f t="shared" si="172"/>
        <v>#N/A</v>
      </c>
      <c r="CE148" s="6" t="str">
        <f t="shared" si="167"/>
        <v/>
      </c>
      <c r="CF148" s="27" t="e">
        <f>IF(AND(CI148,NOT(AD148)),LOOKUP(CF$5,{0,750,1500},H148:J148),"")</f>
        <v>#N/A</v>
      </c>
      <c r="CG148" s="6" t="str">
        <f t="shared" si="168"/>
        <v/>
      </c>
      <c r="CH148" t="e">
        <f t="shared" si="161"/>
        <v>#N/A</v>
      </c>
      <c r="CI148" t="e">
        <f t="shared" si="162"/>
        <v>#N/A</v>
      </c>
      <c r="CJ148" s="6" t="e">
        <f t="shared" si="11"/>
        <v>#N/A</v>
      </c>
      <c r="CK148" s="6">
        <f t="shared" si="12"/>
        <v>1</v>
      </c>
      <c r="CL148" s="6">
        <f t="shared" si="26"/>
        <v>1</v>
      </c>
      <c r="CM148" s="6">
        <f t="shared" si="13"/>
        <v>1</v>
      </c>
      <c r="CN148" s="6">
        <f t="shared" si="14"/>
        <v>0</v>
      </c>
      <c r="CO148" s="6">
        <f t="shared" si="15"/>
        <v>1</v>
      </c>
      <c r="CP148" s="6">
        <f t="shared" si="16"/>
        <v>1</v>
      </c>
      <c r="CQ148" s="6">
        <f t="shared" si="163"/>
        <v>1</v>
      </c>
      <c r="CR148" s="81" t="str">
        <f t="shared" si="17"/>
        <v/>
      </c>
      <c r="CS148">
        <f t="shared" si="164"/>
        <v>3.5999999999999992</v>
      </c>
      <c r="CT148">
        <f t="shared" si="19"/>
        <v>150</v>
      </c>
      <c r="CU148" t="str">
        <f t="shared" si="29"/>
        <v/>
      </c>
      <c r="CV148" s="81">
        <f t="shared" si="165"/>
        <v>150</v>
      </c>
      <c r="CW148" s="81">
        <f>(CV148/25)^1.5*(Calculator!$BU$4/10000)*CW$5</f>
        <v>37.949052970673385</v>
      </c>
      <c r="CX148" t="str">
        <f t="shared" si="166"/>
        <v>$150</v>
      </c>
    </row>
    <row r="149" spans="2:102" x14ac:dyDescent="0.25">
      <c r="B149" s="115" t="s">
        <v>233</v>
      </c>
      <c r="C149" s="13">
        <v>46236.341666666667</v>
      </c>
      <c r="D149">
        <v>28255</v>
      </c>
      <c r="E149" s="54" t="s">
        <v>235</v>
      </c>
      <c r="F149" s="54" t="s">
        <v>537</v>
      </c>
      <c r="G149" s="54" t="s">
        <v>1919</v>
      </c>
      <c r="H149" s="55">
        <v>13.700000000000001</v>
      </c>
      <c r="I149" s="55">
        <v>12.7</v>
      </c>
      <c r="J149" s="55">
        <v>12.2</v>
      </c>
      <c r="K149" s="54"/>
      <c r="L149" s="56" t="b">
        <v>0</v>
      </c>
      <c r="M149" s="56" t="b">
        <v>0</v>
      </c>
      <c r="N149" s="54">
        <v>1</v>
      </c>
      <c r="O149" s="54" t="s">
        <v>228</v>
      </c>
      <c r="P149" s="54">
        <v>25</v>
      </c>
      <c r="Q149" s="54">
        <v>24</v>
      </c>
      <c r="R149" s="54" t="s">
        <v>538</v>
      </c>
      <c r="S149" s="54" t="s">
        <v>1920</v>
      </c>
      <c r="T149" s="54" t="s">
        <v>1921</v>
      </c>
      <c r="U149" s="54" t="s">
        <v>1917</v>
      </c>
      <c r="V149" s="54" t="s">
        <v>1922</v>
      </c>
      <c r="W149" s="54" t="b">
        <v>0</v>
      </c>
      <c r="X149" s="54"/>
      <c r="Y149" s="57" t="s">
        <v>1923</v>
      </c>
      <c r="Z149" s="54" t="s">
        <v>1924</v>
      </c>
      <c r="AA149" s="54"/>
      <c r="AB149" s="54" t="s">
        <v>1925</v>
      </c>
      <c r="AC149" s="56" t="b">
        <v>0</v>
      </c>
      <c r="AD149" s="56" t="b">
        <v>0</v>
      </c>
      <c r="AE149" s="54" t="s">
        <v>303</v>
      </c>
      <c r="AF149" s="58">
        <v>46233</v>
      </c>
      <c r="AG149" s="62" t="s">
        <v>293</v>
      </c>
      <c r="AH149" s="54">
        <v>0</v>
      </c>
      <c r="AI149" s="54"/>
      <c r="AJ149" s="54"/>
      <c r="AK149" s="54"/>
      <c r="AL149" s="54"/>
      <c r="AM149" s="54">
        <v>4.95</v>
      </c>
      <c r="AN149" s="54"/>
      <c r="AO149" s="54"/>
      <c r="AP149" s="54"/>
      <c r="AQ149" s="54"/>
      <c r="AR149" s="54"/>
      <c r="AS149" s="54"/>
      <c r="AT149" s="54"/>
      <c r="AU149" s="54"/>
      <c r="AV149" s="54"/>
      <c r="AW149" s="54"/>
      <c r="AX149" s="59"/>
      <c r="AY149" s="59"/>
      <c r="AZ149" s="59"/>
      <c r="BA149" s="59"/>
      <c r="BB149" s="59">
        <v>6.6000000000000003E-2</v>
      </c>
      <c r="BC149" s="60">
        <v>4.9000000000000004</v>
      </c>
      <c r="BD149" s="61">
        <v>5.1461E-2</v>
      </c>
      <c r="BE149" s="62" t="s">
        <v>293</v>
      </c>
      <c r="BF149" s="35">
        <f t="shared" si="0"/>
        <v>4.9000000000000004</v>
      </c>
      <c r="BG149" s="35">
        <f t="shared" si="0"/>
        <v>5.1461E-2</v>
      </c>
      <c r="BH149" s="35" t="str">
        <f t="shared" ref="BH149:BH156" si="173">IF(ISTEXT(BE149),IF(AND(AV149=0,SUM(AN149:AQ149)=0),IF(AM149&lt;=0,IF(BE149="Y","Low","Flat"),"Med"),"High"),"?")</f>
        <v>Med</v>
      </c>
      <c r="BI149" s="110">
        <f t="shared" ref="BI149:BI156" si="174">IF(ISNUMBER(AH149),0*BI$5*SIN((EDATE($A$3,$Q149)-DATE(YEAR(EDATE($A$3,$Q149)),1,0)-BI$4)*2*PI()/365),"")</f>
        <v>0</v>
      </c>
      <c r="BJ149" s="83" t="str">
        <f>VLOOKUP($F149,REP_Info!$D$6:$H$250,5,FALSE)</f>
        <v/>
      </c>
      <c r="BK149" s="30">
        <f t="shared" si="1"/>
        <v>13.716100000000001</v>
      </c>
      <c r="BL149" s="30">
        <f t="shared" si="1"/>
        <v>12.7311</v>
      </c>
      <c r="BM149" s="30">
        <f t="shared" si="1"/>
        <v>12.2386</v>
      </c>
      <c r="BN149" s="29">
        <f t="shared" si="1"/>
        <v>12.074433333333335</v>
      </c>
      <c r="BO149" s="85" t="str">
        <f t="shared" si="2"/>
        <v>$$$</v>
      </c>
      <c r="BP149" s="88" t="str">
        <f t="shared" ref="BP149:BP156" si="175">IFERROR(BO149*100/BO$5,"$$$")</f>
        <v>$$$</v>
      </c>
      <c r="BQ149" s="88" t="str">
        <f t="shared" si="4"/>
        <v>$$$</v>
      </c>
      <c r="BR149" s="88" t="str">
        <f t="shared" si="5"/>
        <v>$$$</v>
      </c>
      <c r="BS149" s="29" t="e">
        <f t="shared" ref="BS149:CD156" si="176">IF($CI149,IF(BS$7&gt;0,IF(BS$4&gt;$Q149,$BF149+BS$7*(BS$5+$BG149+$BI149),LOOKUP(BS$7,$AH149:$AL149,$AM149:$AQ149)+IF($AG149="Y",SUMPRODUCT($AX149:$BB149-$AW149:$BA149,BS$7-$AR149:$AV149,N(BS$7&gt;$AR149:$AV149)),BS$7*LOOKUP(BS$7,$AR149:$AV149,$AX149:$BB149))+IF($BE149="Y",$BF149,$BC149)+BS$7*IF($BE149="Y",$BG149,$BD149))*100/BS$7,""),NA())</f>
        <v>#N/A</v>
      </c>
      <c r="BT149" s="29" t="e">
        <f t="shared" si="176"/>
        <v>#N/A</v>
      </c>
      <c r="BU149" s="29" t="e">
        <f t="shared" si="176"/>
        <v>#N/A</v>
      </c>
      <c r="BV149" s="29" t="e">
        <f t="shared" si="176"/>
        <v>#N/A</v>
      </c>
      <c r="BW149" s="29" t="e">
        <f t="shared" si="176"/>
        <v>#N/A</v>
      </c>
      <c r="BX149" s="29" t="e">
        <f t="shared" si="176"/>
        <v>#N/A</v>
      </c>
      <c r="BY149" s="29" t="e">
        <f t="shared" si="176"/>
        <v>#N/A</v>
      </c>
      <c r="BZ149" s="29" t="e">
        <f t="shared" si="176"/>
        <v>#N/A</v>
      </c>
      <c r="CA149" s="29" t="e">
        <f t="shared" si="176"/>
        <v>#N/A</v>
      </c>
      <c r="CB149" s="29" t="e">
        <f t="shared" si="176"/>
        <v>#N/A</v>
      </c>
      <c r="CC149" s="29" t="e">
        <f t="shared" si="176"/>
        <v>#N/A</v>
      </c>
      <c r="CD149" s="29" t="e">
        <f t="shared" si="176"/>
        <v>#N/A</v>
      </c>
      <c r="CE149" s="6" t="str">
        <f t="shared" si="167"/>
        <v/>
      </c>
      <c r="CF149" s="27" t="e">
        <f>IF(AND(CI149,NOT(AD149)),LOOKUP(CF$5,{0,750,1500},H149:J149),"")</f>
        <v>#N/A</v>
      </c>
      <c r="CG149" s="6" t="str">
        <f t="shared" si="168"/>
        <v/>
      </c>
      <c r="CH149" t="e">
        <f t="shared" ref="CH149:CH156" si="177">IF(CI149,IF(ISNUMBER(BO149),BO149,100000)+CV149/10000+IF(ISNUMBER(BJ149),BJ149,2)/10000-P149/100000+ROW()/10000000,"")</f>
        <v>#N/A</v>
      </c>
      <c r="CI149" t="e">
        <f t="shared" ref="CI149:CI156" si="178">PRODUCT(CJ149:CQ149)</f>
        <v>#N/A</v>
      </c>
      <c r="CJ149" s="6" t="e">
        <f t="shared" si="11"/>
        <v>#N/A</v>
      </c>
      <c r="CK149" s="6">
        <f t="shared" si="12"/>
        <v>1</v>
      </c>
      <c r="CL149" s="6">
        <f t="shared" si="26"/>
        <v>1</v>
      </c>
      <c r="CM149" s="6">
        <f t="shared" si="13"/>
        <v>1</v>
      </c>
      <c r="CN149" s="6">
        <f t="shared" si="14"/>
        <v>1</v>
      </c>
      <c r="CO149" s="6">
        <f t="shared" si="15"/>
        <v>0</v>
      </c>
      <c r="CP149" s="6">
        <f t="shared" si="16"/>
        <v>1</v>
      </c>
      <c r="CQ149" s="6">
        <f t="shared" ref="CQ149:CQ156" si="179">IF(CQ$5="Any",1,IF(AND(CQ$5="Med",AV149=0,SUM(AN149:AQ149)=0),1,IF(AND(CQ$5="Low",AV149=0,SUM(AN149:AQ149)=0,AM149=0),1,IF(AND(CQ$5="Flat",AV149=0,SUM(AN149:AQ149)=0,AM149=0,IFERROR(NOT(BE149="Y"),0)),1,0))))</f>
        <v>1</v>
      </c>
      <c r="CR149" s="81" t="str">
        <f t="shared" si="17"/>
        <v/>
      </c>
      <c r="CS149">
        <f t="shared" ref="CS149:CS156" si="180">CS$5*(12/(MIN(12,Q149))-1)</f>
        <v>0</v>
      </c>
      <c r="CT149">
        <f t="shared" si="19"/>
        <v>20</v>
      </c>
      <c r="CU149" t="str">
        <f t="shared" si="29"/>
        <v>rm</v>
      </c>
      <c r="CV149" s="81">
        <f t="shared" ref="CV149:CV156" si="181">CT149*IF(CU149="",1,Q149)</f>
        <v>480</v>
      </c>
      <c r="CW149" s="81">
        <f>(CV149/25)^1.5*(Calculator!$BU$4/10000)*CW$5</f>
        <v>217.23305503786497</v>
      </c>
      <c r="CX149" t="str">
        <f t="shared" ref="CX149:CX156" si="182">"$"&amp;IF(LEFT(CU149,1)="r",CT149&amp;"/"&amp;CU149,CV149)</f>
        <v>$20/rm</v>
      </c>
    </row>
    <row r="150" spans="2:102" x14ac:dyDescent="0.25">
      <c r="B150" s="115" t="s">
        <v>233</v>
      </c>
      <c r="C150" s="13">
        <v>46237.767361111109</v>
      </c>
      <c r="D150">
        <v>28258</v>
      </c>
      <c r="E150" s="54" t="s">
        <v>237</v>
      </c>
      <c r="F150" s="54" t="s">
        <v>537</v>
      </c>
      <c r="G150" s="54" t="s">
        <v>1919</v>
      </c>
      <c r="H150" s="55">
        <v>14.399999999999999</v>
      </c>
      <c r="I150" s="55">
        <v>13.5</v>
      </c>
      <c r="J150" s="55">
        <v>13.100000000000001</v>
      </c>
      <c r="K150" s="54"/>
      <c r="L150" s="56" t="b">
        <v>0</v>
      </c>
      <c r="M150" s="56" t="b">
        <v>0</v>
      </c>
      <c r="N150" s="54">
        <v>1</v>
      </c>
      <c r="O150" s="54" t="s">
        <v>228</v>
      </c>
      <c r="P150" s="54">
        <v>25</v>
      </c>
      <c r="Q150" s="54">
        <v>24</v>
      </c>
      <c r="R150" s="54" t="s">
        <v>538</v>
      </c>
      <c r="S150" s="54" t="s">
        <v>1926</v>
      </c>
      <c r="T150" s="54" t="s">
        <v>1921</v>
      </c>
      <c r="U150" s="54" t="s">
        <v>1917</v>
      </c>
      <c r="V150" s="54" t="s">
        <v>1922</v>
      </c>
      <c r="W150" s="54" t="b">
        <v>0</v>
      </c>
      <c r="X150" s="54"/>
      <c r="Y150" s="57" t="s">
        <v>1927</v>
      </c>
      <c r="Z150" s="54" t="s">
        <v>1928</v>
      </c>
      <c r="AA150" s="54"/>
      <c r="AB150" s="54" t="s">
        <v>1929</v>
      </c>
      <c r="AC150" s="56" t="b">
        <v>0</v>
      </c>
      <c r="AD150" s="56" t="b">
        <v>0</v>
      </c>
      <c r="AE150" s="54" t="s">
        <v>303</v>
      </c>
      <c r="AF150" s="58">
        <v>46237</v>
      </c>
      <c r="AG150" s="62" t="s">
        <v>293</v>
      </c>
      <c r="AH150" s="54">
        <v>0</v>
      </c>
      <c r="AI150" s="54"/>
      <c r="AJ150" s="54"/>
      <c r="AK150" s="54"/>
      <c r="AL150" s="54"/>
      <c r="AM150" s="54">
        <v>4.95</v>
      </c>
      <c r="AN150" s="54"/>
      <c r="AO150" s="54"/>
      <c r="AP150" s="54"/>
      <c r="AQ150" s="54"/>
      <c r="AR150" s="54"/>
      <c r="AS150" s="54"/>
      <c r="AT150" s="54"/>
      <c r="AU150" s="54"/>
      <c r="AV150" s="54"/>
      <c r="AW150" s="54"/>
      <c r="AX150" s="59"/>
      <c r="AY150" s="59"/>
      <c r="AZ150" s="59"/>
      <c r="BA150" s="59"/>
      <c r="BB150" s="59">
        <v>6.6000000000000003E-2</v>
      </c>
      <c r="BC150" s="60">
        <v>4.0599999999999996</v>
      </c>
      <c r="BD150" s="61">
        <v>6.0208999999999999E-2</v>
      </c>
      <c r="BE150" s="62" t="s">
        <v>293</v>
      </c>
      <c r="BF150" s="35">
        <f t="shared" si="0"/>
        <v>4.0600000000000005</v>
      </c>
      <c r="BG150" s="35">
        <f t="shared" si="0"/>
        <v>6.0295000000000001E-2</v>
      </c>
      <c r="BH150" s="35" t="str">
        <f t="shared" si="173"/>
        <v>Med</v>
      </c>
      <c r="BI150" s="110">
        <f t="shared" si="174"/>
        <v>0</v>
      </c>
      <c r="BJ150" s="83" t="str">
        <f>VLOOKUP($F150,REP_Info!$D$6:$H$250,5,FALSE)</f>
        <v/>
      </c>
      <c r="BK150" s="30">
        <f t="shared" si="1"/>
        <v>14.4315</v>
      </c>
      <c r="BL150" s="30">
        <f t="shared" si="1"/>
        <v>13.5305</v>
      </c>
      <c r="BM150" s="30">
        <f t="shared" si="1"/>
        <v>13.080000000000002</v>
      </c>
      <c r="BN150" s="29">
        <f t="shared" si="1"/>
        <v>12.929833333333333</v>
      </c>
      <c r="BO150" s="85" t="str">
        <f t="shared" si="2"/>
        <v>$$$</v>
      </c>
      <c r="BP150" s="88" t="str">
        <f t="shared" si="175"/>
        <v>$$$</v>
      </c>
      <c r="BQ150" s="88" t="str">
        <f t="shared" si="4"/>
        <v>$$$</v>
      </c>
      <c r="BR150" s="88" t="str">
        <f t="shared" si="5"/>
        <v>$$$</v>
      </c>
      <c r="BS150" s="29" t="e">
        <f t="shared" si="176"/>
        <v>#N/A</v>
      </c>
      <c r="BT150" s="29" t="e">
        <f t="shared" si="176"/>
        <v>#N/A</v>
      </c>
      <c r="BU150" s="29" t="e">
        <f t="shared" si="176"/>
        <v>#N/A</v>
      </c>
      <c r="BV150" s="29" t="e">
        <f t="shared" si="176"/>
        <v>#N/A</v>
      </c>
      <c r="BW150" s="29" t="e">
        <f t="shared" si="176"/>
        <v>#N/A</v>
      </c>
      <c r="BX150" s="29" t="e">
        <f t="shared" si="176"/>
        <v>#N/A</v>
      </c>
      <c r="BY150" s="29" t="e">
        <f t="shared" si="176"/>
        <v>#N/A</v>
      </c>
      <c r="BZ150" s="29" t="e">
        <f t="shared" si="176"/>
        <v>#N/A</v>
      </c>
      <c r="CA150" s="29" t="e">
        <f t="shared" si="176"/>
        <v>#N/A</v>
      </c>
      <c r="CB150" s="29" t="e">
        <f t="shared" si="176"/>
        <v>#N/A</v>
      </c>
      <c r="CC150" s="29" t="e">
        <f t="shared" si="176"/>
        <v>#N/A</v>
      </c>
      <c r="CD150" s="29" t="e">
        <f t="shared" si="176"/>
        <v>#N/A</v>
      </c>
      <c r="CE150" s="6" t="str">
        <f t="shared" si="167"/>
        <v/>
      </c>
      <c r="CF150" s="27" t="e">
        <f>IF(AND(CI150,NOT(AD150)),LOOKUP(CF$5,{0,750,1500},H150:J150),"")</f>
        <v>#N/A</v>
      </c>
      <c r="CG150" s="6" t="str">
        <f t="shared" si="168"/>
        <v/>
      </c>
      <c r="CH150" t="e">
        <f t="shared" si="177"/>
        <v>#N/A</v>
      </c>
      <c r="CI150" t="e">
        <f t="shared" si="178"/>
        <v>#N/A</v>
      </c>
      <c r="CJ150" s="6" t="e">
        <f t="shared" si="11"/>
        <v>#N/A</v>
      </c>
      <c r="CK150" s="6">
        <f t="shared" si="12"/>
        <v>1</v>
      </c>
      <c r="CL150" s="6">
        <f t="shared" si="26"/>
        <v>1</v>
      </c>
      <c r="CM150" s="6">
        <f t="shared" si="13"/>
        <v>1</v>
      </c>
      <c r="CN150" s="6">
        <f t="shared" si="14"/>
        <v>1</v>
      </c>
      <c r="CO150" s="6">
        <f t="shared" si="15"/>
        <v>0</v>
      </c>
      <c r="CP150" s="6">
        <f t="shared" si="16"/>
        <v>1</v>
      </c>
      <c r="CQ150" s="6">
        <f t="shared" si="179"/>
        <v>1</v>
      </c>
      <c r="CR150" s="81" t="str">
        <f t="shared" si="17"/>
        <v/>
      </c>
      <c r="CS150">
        <f t="shared" si="180"/>
        <v>0</v>
      </c>
      <c r="CT150">
        <f t="shared" si="19"/>
        <v>20</v>
      </c>
      <c r="CU150" t="str">
        <f t="shared" si="29"/>
        <v>rm</v>
      </c>
      <c r="CV150" s="81">
        <f t="shared" si="181"/>
        <v>480</v>
      </c>
      <c r="CW150" s="81">
        <f>(CV150/25)^1.5*(Calculator!$BU$4/10000)*CW$5</f>
        <v>217.23305503786497</v>
      </c>
      <c r="CX150" t="str">
        <f t="shared" si="182"/>
        <v>$20/rm</v>
      </c>
    </row>
    <row r="151" spans="2:102" x14ac:dyDescent="0.25">
      <c r="B151" s="115" t="s">
        <v>233</v>
      </c>
      <c r="C151" s="13">
        <v>46237.767361111109</v>
      </c>
      <c r="D151">
        <v>28274</v>
      </c>
      <c r="E151" s="54" t="s">
        <v>237</v>
      </c>
      <c r="F151" s="54" t="s">
        <v>537</v>
      </c>
      <c r="G151" s="54" t="s">
        <v>1930</v>
      </c>
      <c r="H151" s="55">
        <v>13.8</v>
      </c>
      <c r="I151" s="55">
        <v>12.9</v>
      </c>
      <c r="J151" s="55">
        <v>12.5</v>
      </c>
      <c r="K151" s="54"/>
      <c r="L151" s="56" t="b">
        <v>0</v>
      </c>
      <c r="M151" s="56" t="b">
        <v>0</v>
      </c>
      <c r="N151" s="54">
        <v>1</v>
      </c>
      <c r="O151" s="54" t="s">
        <v>228</v>
      </c>
      <c r="P151" s="54">
        <v>25</v>
      </c>
      <c r="Q151" s="54">
        <v>12</v>
      </c>
      <c r="R151" s="54" t="s">
        <v>538</v>
      </c>
      <c r="S151" s="54" t="s">
        <v>1926</v>
      </c>
      <c r="T151" s="54" t="s">
        <v>1921</v>
      </c>
      <c r="U151" s="54" t="s">
        <v>1916</v>
      </c>
      <c r="V151" s="54" t="s">
        <v>1931</v>
      </c>
      <c r="W151" s="54" t="b">
        <v>0</v>
      </c>
      <c r="X151" s="54"/>
      <c r="Y151" s="57" t="s">
        <v>1932</v>
      </c>
      <c r="Z151" s="54" t="s">
        <v>1928</v>
      </c>
      <c r="AA151" s="54"/>
      <c r="AB151" s="54" t="s">
        <v>1929</v>
      </c>
      <c r="AC151" s="56" t="b">
        <v>0</v>
      </c>
      <c r="AD151" s="56" t="b">
        <v>0</v>
      </c>
      <c r="AE151" s="54" t="s">
        <v>303</v>
      </c>
      <c r="AF151" s="58">
        <v>46237</v>
      </c>
      <c r="AG151" s="62" t="s">
        <v>293</v>
      </c>
      <c r="AH151" s="54">
        <v>0</v>
      </c>
      <c r="AI151" s="54"/>
      <c r="AJ151" s="54"/>
      <c r="AK151" s="54"/>
      <c r="AL151" s="54"/>
      <c r="AM151" s="54">
        <v>4.95</v>
      </c>
      <c r="AN151" s="54"/>
      <c r="AO151" s="54"/>
      <c r="AP151" s="54"/>
      <c r="AQ151" s="54"/>
      <c r="AR151" s="54"/>
      <c r="AS151" s="54"/>
      <c r="AT151" s="54"/>
      <c r="AU151" s="54"/>
      <c r="AV151" s="54"/>
      <c r="AW151" s="54"/>
      <c r="AX151" s="59"/>
      <c r="AY151" s="59"/>
      <c r="AZ151" s="59"/>
      <c r="BA151" s="59"/>
      <c r="BB151" s="59">
        <v>0.06</v>
      </c>
      <c r="BC151" s="60">
        <v>4.0599999999999996</v>
      </c>
      <c r="BD151" s="61">
        <v>6.0208999999999999E-2</v>
      </c>
      <c r="BE151" s="62" t="s">
        <v>293</v>
      </c>
      <c r="BF151" s="35">
        <f t="shared" si="0"/>
        <v>4.0600000000000005</v>
      </c>
      <c r="BG151" s="35">
        <f t="shared" si="0"/>
        <v>6.0295000000000001E-2</v>
      </c>
      <c r="BH151" s="35" t="str">
        <f t="shared" si="173"/>
        <v>Med</v>
      </c>
      <c r="BI151" s="110">
        <f t="shared" si="174"/>
        <v>0</v>
      </c>
      <c r="BJ151" s="83" t="str">
        <f>VLOOKUP($F151,REP_Info!$D$6:$H$250,5,FALSE)</f>
        <v/>
      </c>
      <c r="BK151" s="30">
        <f t="shared" si="1"/>
        <v>13.8315</v>
      </c>
      <c r="BL151" s="30">
        <f t="shared" si="1"/>
        <v>12.9305</v>
      </c>
      <c r="BM151" s="30">
        <f t="shared" si="1"/>
        <v>12.48</v>
      </c>
      <c r="BN151" s="29">
        <f t="shared" si="1"/>
        <v>12.329833333333333</v>
      </c>
      <c r="BO151" s="85" t="str">
        <f t="shared" si="2"/>
        <v>$$$</v>
      </c>
      <c r="BP151" s="88" t="str">
        <f t="shared" si="175"/>
        <v>$$$</v>
      </c>
      <c r="BQ151" s="88" t="str">
        <f t="shared" si="4"/>
        <v>$$$</v>
      </c>
      <c r="BR151" s="88" t="str">
        <f t="shared" si="5"/>
        <v>$$$</v>
      </c>
      <c r="BS151" s="29" t="e">
        <f t="shared" si="176"/>
        <v>#N/A</v>
      </c>
      <c r="BT151" s="29" t="e">
        <f t="shared" si="176"/>
        <v>#N/A</v>
      </c>
      <c r="BU151" s="29" t="e">
        <f t="shared" si="176"/>
        <v>#N/A</v>
      </c>
      <c r="BV151" s="29" t="e">
        <f t="shared" si="176"/>
        <v>#N/A</v>
      </c>
      <c r="BW151" s="29" t="e">
        <f t="shared" si="176"/>
        <v>#N/A</v>
      </c>
      <c r="BX151" s="29" t="e">
        <f t="shared" si="176"/>
        <v>#N/A</v>
      </c>
      <c r="BY151" s="29" t="e">
        <f t="shared" si="176"/>
        <v>#N/A</v>
      </c>
      <c r="BZ151" s="29" t="e">
        <f t="shared" si="176"/>
        <v>#N/A</v>
      </c>
      <c r="CA151" s="29" t="e">
        <f t="shared" si="176"/>
        <v>#N/A</v>
      </c>
      <c r="CB151" s="29" t="e">
        <f t="shared" si="176"/>
        <v>#N/A</v>
      </c>
      <c r="CC151" s="29" t="e">
        <f t="shared" si="176"/>
        <v>#N/A</v>
      </c>
      <c r="CD151" s="29" t="e">
        <f t="shared" si="176"/>
        <v>#N/A</v>
      </c>
      <c r="CE151" s="6" t="str">
        <f t="shared" si="167"/>
        <v/>
      </c>
      <c r="CF151" s="27" t="e">
        <f>IF(AND(CI151,NOT(AD151)),LOOKUP(CF$5,{0,750,1500},H151:J151),"")</f>
        <v>#N/A</v>
      </c>
      <c r="CG151" s="6" t="str">
        <f t="shared" si="168"/>
        <v/>
      </c>
      <c r="CH151" t="e">
        <f t="shared" si="177"/>
        <v>#N/A</v>
      </c>
      <c r="CI151" t="e">
        <f t="shared" si="178"/>
        <v>#N/A</v>
      </c>
      <c r="CJ151" s="6" t="e">
        <f t="shared" si="11"/>
        <v>#N/A</v>
      </c>
      <c r="CK151" s="6">
        <f t="shared" si="12"/>
        <v>1</v>
      </c>
      <c r="CL151" s="6">
        <f t="shared" si="26"/>
        <v>1</v>
      </c>
      <c r="CM151" s="6">
        <f t="shared" si="13"/>
        <v>1</v>
      </c>
      <c r="CN151" s="6">
        <f t="shared" si="14"/>
        <v>1</v>
      </c>
      <c r="CO151" s="6">
        <f t="shared" si="15"/>
        <v>1</v>
      </c>
      <c r="CP151" s="6">
        <f t="shared" si="16"/>
        <v>1</v>
      </c>
      <c r="CQ151" s="6">
        <f t="shared" si="179"/>
        <v>1</v>
      </c>
      <c r="CR151" s="81" t="str">
        <f t="shared" si="17"/>
        <v/>
      </c>
      <c r="CS151">
        <f t="shared" si="180"/>
        <v>0</v>
      </c>
      <c r="CT151">
        <f t="shared" si="19"/>
        <v>20</v>
      </c>
      <c r="CU151" t="str">
        <f t="shared" si="29"/>
        <v>rm</v>
      </c>
      <c r="CV151" s="81">
        <f t="shared" si="181"/>
        <v>240</v>
      </c>
      <c r="CW151" s="81">
        <f>(CV151/25)^1.5*(Calculator!$BU$4/10000)*CW$5</f>
        <v>76.803483157572401</v>
      </c>
      <c r="CX151" t="str">
        <f t="shared" si="182"/>
        <v>$20/rm</v>
      </c>
    </row>
    <row r="152" spans="2:102" x14ac:dyDescent="0.25">
      <c r="B152" s="115" t="s">
        <v>233</v>
      </c>
      <c r="C152" s="13">
        <v>46236.341666666667</v>
      </c>
      <c r="D152">
        <v>28277</v>
      </c>
      <c r="E152" s="54" t="s">
        <v>235</v>
      </c>
      <c r="F152" s="54" t="s">
        <v>537</v>
      </c>
      <c r="G152" s="54" t="s">
        <v>1930</v>
      </c>
      <c r="H152" s="55">
        <v>13</v>
      </c>
      <c r="I152" s="55">
        <v>12</v>
      </c>
      <c r="J152" s="55">
        <v>11.5</v>
      </c>
      <c r="K152" s="54"/>
      <c r="L152" s="56" t="b">
        <v>0</v>
      </c>
      <c r="M152" s="56" t="b">
        <v>0</v>
      </c>
      <c r="N152" s="54">
        <v>1</v>
      </c>
      <c r="O152" s="54" t="s">
        <v>228</v>
      </c>
      <c r="P152" s="54">
        <v>25</v>
      </c>
      <c r="Q152" s="54">
        <v>12</v>
      </c>
      <c r="R152" s="54" t="s">
        <v>538</v>
      </c>
      <c r="S152" s="54" t="s">
        <v>1920</v>
      </c>
      <c r="T152" s="54" t="s">
        <v>1921</v>
      </c>
      <c r="U152" s="54" t="s">
        <v>1916</v>
      </c>
      <c r="V152" s="54" t="s">
        <v>1931</v>
      </c>
      <c r="W152" s="54" t="b">
        <v>0</v>
      </c>
      <c r="X152" s="54"/>
      <c r="Y152" s="57" t="s">
        <v>1933</v>
      </c>
      <c r="Z152" s="54" t="s">
        <v>1924</v>
      </c>
      <c r="AA152" s="54"/>
      <c r="AB152" s="54" t="s">
        <v>1925</v>
      </c>
      <c r="AC152" s="56" t="b">
        <v>0</v>
      </c>
      <c r="AD152" s="56" t="b">
        <v>0</v>
      </c>
      <c r="AE152" s="54" t="s">
        <v>303</v>
      </c>
      <c r="AF152" s="58">
        <v>46233</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5.8999999999999997E-2</v>
      </c>
      <c r="BC152" s="60">
        <v>4.9000000000000004</v>
      </c>
      <c r="BD152" s="61">
        <v>5.1461E-2</v>
      </c>
      <c r="BE152" s="62" t="s">
        <v>293</v>
      </c>
      <c r="BF152" s="35">
        <f t="shared" si="0"/>
        <v>4.9000000000000004</v>
      </c>
      <c r="BG152" s="35">
        <f t="shared" ref="BF152:BG156" si="183">IF($E152=$E$4,BG$4,IF($E152=$E$5,BG$5,""))</f>
        <v>5.1461E-2</v>
      </c>
      <c r="BH152" s="35" t="str">
        <f t="shared" si="173"/>
        <v>Med</v>
      </c>
      <c r="BI152" s="110">
        <f t="shared" si="174"/>
        <v>0</v>
      </c>
      <c r="BJ152" s="83" t="str">
        <f>VLOOKUP($F152,REP_Info!$D$6:$H$250,5,FALSE)</f>
        <v/>
      </c>
      <c r="BK152" s="30">
        <f t="shared" si="1"/>
        <v>13.0161</v>
      </c>
      <c r="BL152" s="30">
        <f t="shared" si="1"/>
        <v>12.0311</v>
      </c>
      <c r="BM152" s="30">
        <f t="shared" si="1"/>
        <v>11.538600000000001</v>
      </c>
      <c r="BN152" s="29">
        <f t="shared" si="1"/>
        <v>11.374433333333334</v>
      </c>
      <c r="BO152" s="85" t="str">
        <f t="shared" si="2"/>
        <v>$$$</v>
      </c>
      <c r="BP152" s="88" t="str">
        <f t="shared" si="175"/>
        <v>$$$</v>
      </c>
      <c r="BQ152" s="88" t="str">
        <f t="shared" si="4"/>
        <v>$$$</v>
      </c>
      <c r="BR152" s="88" t="str">
        <f t="shared" si="5"/>
        <v>$$$</v>
      </c>
      <c r="BS152" s="29" t="e">
        <f t="shared" si="176"/>
        <v>#N/A</v>
      </c>
      <c r="BT152" s="29" t="e">
        <f t="shared" si="176"/>
        <v>#N/A</v>
      </c>
      <c r="BU152" s="29" t="e">
        <f t="shared" si="176"/>
        <v>#N/A</v>
      </c>
      <c r="BV152" s="29" t="e">
        <f t="shared" si="176"/>
        <v>#N/A</v>
      </c>
      <c r="BW152" s="29" t="e">
        <f t="shared" si="176"/>
        <v>#N/A</v>
      </c>
      <c r="BX152" s="29" t="e">
        <f t="shared" si="176"/>
        <v>#N/A</v>
      </c>
      <c r="BY152" s="29" t="e">
        <f t="shared" si="176"/>
        <v>#N/A</v>
      </c>
      <c r="BZ152" s="29" t="e">
        <f t="shared" si="176"/>
        <v>#N/A</v>
      </c>
      <c r="CA152" s="29" t="e">
        <f t="shared" si="176"/>
        <v>#N/A</v>
      </c>
      <c r="CB152" s="29" t="e">
        <f t="shared" si="176"/>
        <v>#N/A</v>
      </c>
      <c r="CC152" s="29" t="e">
        <f t="shared" si="176"/>
        <v>#N/A</v>
      </c>
      <c r="CD152" s="29" t="e">
        <f t="shared" si="176"/>
        <v>#N/A</v>
      </c>
      <c r="CE152" s="6" t="str">
        <f t="shared" si="167"/>
        <v/>
      </c>
      <c r="CF152" s="27" t="e">
        <f>IF(AND(CI152,NOT(AD152)),LOOKUP(CF$5,{0,750,1500},H152:J152),"")</f>
        <v>#N/A</v>
      </c>
      <c r="CG152" s="6" t="str">
        <f t="shared" si="168"/>
        <v/>
      </c>
      <c r="CH152" t="e">
        <f t="shared" si="177"/>
        <v>#N/A</v>
      </c>
      <c r="CI152" t="e">
        <f t="shared" si="178"/>
        <v>#N/A</v>
      </c>
      <c r="CJ152" s="6" t="e">
        <f t="shared" si="11"/>
        <v>#N/A</v>
      </c>
      <c r="CK152" s="6">
        <f t="shared" si="12"/>
        <v>1</v>
      </c>
      <c r="CL152" s="6">
        <f t="shared" si="26"/>
        <v>1</v>
      </c>
      <c r="CM152" s="6">
        <f t="shared" si="13"/>
        <v>1</v>
      </c>
      <c r="CN152" s="6">
        <f t="shared" si="14"/>
        <v>1</v>
      </c>
      <c r="CO152" s="6">
        <f t="shared" si="15"/>
        <v>1</v>
      </c>
      <c r="CP152" s="6">
        <f t="shared" si="16"/>
        <v>1</v>
      </c>
      <c r="CQ152" s="6">
        <f t="shared" si="179"/>
        <v>1</v>
      </c>
      <c r="CR152" s="81" t="str">
        <f t="shared" si="17"/>
        <v/>
      </c>
      <c r="CS152">
        <f t="shared" si="180"/>
        <v>0</v>
      </c>
      <c r="CT152">
        <f t="shared" si="19"/>
        <v>20</v>
      </c>
      <c r="CU152" t="str">
        <f t="shared" si="29"/>
        <v>rm</v>
      </c>
      <c r="CV152" s="81">
        <f t="shared" si="181"/>
        <v>240</v>
      </c>
      <c r="CW152" s="81">
        <f>(CV152/25)^1.5*(Calculator!$BU$4/10000)*CW$5</f>
        <v>76.803483157572401</v>
      </c>
      <c r="CX152" t="str">
        <f t="shared" si="182"/>
        <v>$20/rm</v>
      </c>
    </row>
    <row r="153" spans="2:102" x14ac:dyDescent="0.25">
      <c r="B153" s="115" t="s">
        <v>233</v>
      </c>
      <c r="C153" s="13">
        <v>46237.767361111109</v>
      </c>
      <c r="D153">
        <v>28301</v>
      </c>
      <c r="E153" s="54" t="s">
        <v>237</v>
      </c>
      <c r="F153" s="54" t="s">
        <v>537</v>
      </c>
      <c r="G153" s="54" t="s">
        <v>1934</v>
      </c>
      <c r="H153" s="55">
        <v>14.7</v>
      </c>
      <c r="I153" s="55">
        <v>13.8</v>
      </c>
      <c r="J153" s="55">
        <v>13.4</v>
      </c>
      <c r="K153" s="54"/>
      <c r="L153" s="56" t="b">
        <v>0</v>
      </c>
      <c r="M153" s="56" t="b">
        <v>0</v>
      </c>
      <c r="N153" s="54">
        <v>1</v>
      </c>
      <c r="O153" s="54" t="s">
        <v>228</v>
      </c>
      <c r="P153" s="54">
        <v>25</v>
      </c>
      <c r="Q153" s="54">
        <v>36</v>
      </c>
      <c r="R153" s="54" t="s">
        <v>538</v>
      </c>
      <c r="S153" s="54" t="s">
        <v>1926</v>
      </c>
      <c r="T153" s="54" t="s">
        <v>1921</v>
      </c>
      <c r="U153" s="54" t="s">
        <v>1918</v>
      </c>
      <c r="V153" s="54" t="s">
        <v>1935</v>
      </c>
      <c r="W153" s="54" t="b">
        <v>0</v>
      </c>
      <c r="X153" s="54"/>
      <c r="Y153" s="57" t="s">
        <v>1936</v>
      </c>
      <c r="Z153" s="54" t="s">
        <v>1928</v>
      </c>
      <c r="AA153" s="54"/>
      <c r="AB153" s="54" t="s">
        <v>1929</v>
      </c>
      <c r="AC153" s="56" t="b">
        <v>0</v>
      </c>
      <c r="AD153" s="56" t="b">
        <v>0</v>
      </c>
      <c r="AE153" s="54" t="s">
        <v>303</v>
      </c>
      <c r="AF153" s="58">
        <v>46237</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6.9000000000000006E-2</v>
      </c>
      <c r="BC153" s="60">
        <v>4.0599999999999996</v>
      </c>
      <c r="BD153" s="61">
        <v>6.0208999999999999E-2</v>
      </c>
      <c r="BE153" s="62" t="s">
        <v>293</v>
      </c>
      <c r="BF153" s="35">
        <f t="shared" si="183"/>
        <v>4.0600000000000005</v>
      </c>
      <c r="BG153" s="35">
        <f t="shared" si="183"/>
        <v>6.0295000000000001E-2</v>
      </c>
      <c r="BH153" s="35" t="str">
        <f t="shared" si="173"/>
        <v>Med</v>
      </c>
      <c r="BI153" s="110">
        <f t="shared" si="174"/>
        <v>0</v>
      </c>
      <c r="BJ153" s="83" t="str">
        <f>VLOOKUP($F153,REP_Info!$D$6:$H$250,5,FALSE)</f>
        <v/>
      </c>
      <c r="BK153" s="30">
        <f t="shared" si="1"/>
        <v>14.7315</v>
      </c>
      <c r="BL153" s="30">
        <f t="shared" si="1"/>
        <v>13.830500000000001</v>
      </c>
      <c r="BM153" s="30">
        <f t="shared" si="1"/>
        <v>13.380000000000003</v>
      </c>
      <c r="BN153" s="29">
        <f t="shared" si="1"/>
        <v>13.229833333333334</v>
      </c>
      <c r="BO153" s="85" t="str">
        <f t="shared" si="2"/>
        <v>$$$</v>
      </c>
      <c r="BP153" s="88" t="str">
        <f t="shared" si="175"/>
        <v>$$$</v>
      </c>
      <c r="BQ153" s="88" t="str">
        <f t="shared" si="4"/>
        <v>$$$</v>
      </c>
      <c r="BR153" s="88" t="str">
        <f t="shared" si="5"/>
        <v>$$$</v>
      </c>
      <c r="BS153" s="29" t="e">
        <f t="shared" si="176"/>
        <v>#N/A</v>
      </c>
      <c r="BT153" s="29" t="e">
        <f t="shared" si="176"/>
        <v>#N/A</v>
      </c>
      <c r="BU153" s="29" t="e">
        <f t="shared" si="176"/>
        <v>#N/A</v>
      </c>
      <c r="BV153" s="29" t="e">
        <f t="shared" si="176"/>
        <v>#N/A</v>
      </c>
      <c r="BW153" s="29" t="e">
        <f t="shared" si="176"/>
        <v>#N/A</v>
      </c>
      <c r="BX153" s="29" t="e">
        <f t="shared" si="176"/>
        <v>#N/A</v>
      </c>
      <c r="BY153" s="29" t="e">
        <f t="shared" si="176"/>
        <v>#N/A</v>
      </c>
      <c r="BZ153" s="29" t="e">
        <f t="shared" si="176"/>
        <v>#N/A</v>
      </c>
      <c r="CA153" s="29" t="e">
        <f t="shared" si="176"/>
        <v>#N/A</v>
      </c>
      <c r="CB153" s="29" t="e">
        <f t="shared" si="176"/>
        <v>#N/A</v>
      </c>
      <c r="CC153" s="29" t="e">
        <f t="shared" si="176"/>
        <v>#N/A</v>
      </c>
      <c r="CD153" s="29" t="e">
        <f t="shared" si="176"/>
        <v>#N/A</v>
      </c>
      <c r="CE153" s="6" t="str">
        <f t="shared" si="167"/>
        <v/>
      </c>
      <c r="CF153" s="27" t="e">
        <f>IF(AND(CI153,NOT(AD153)),LOOKUP(CF$5,{0,750,1500},H153:J153),"")</f>
        <v>#N/A</v>
      </c>
      <c r="CG153" s="6" t="str">
        <f t="shared" si="168"/>
        <v/>
      </c>
      <c r="CH153" t="e">
        <f t="shared" si="177"/>
        <v>#N/A</v>
      </c>
      <c r="CI153" t="e">
        <f t="shared" si="178"/>
        <v>#N/A</v>
      </c>
      <c r="CJ153" s="6" t="e">
        <f t="shared" si="11"/>
        <v>#N/A</v>
      </c>
      <c r="CK153" s="6">
        <f t="shared" si="12"/>
        <v>1</v>
      </c>
      <c r="CL153" s="6">
        <f t="shared" si="26"/>
        <v>1</v>
      </c>
      <c r="CM153" s="6">
        <f t="shared" si="13"/>
        <v>1</v>
      </c>
      <c r="CN153" s="6">
        <f t="shared" si="14"/>
        <v>1</v>
      </c>
      <c r="CO153" s="6">
        <f t="shared" si="15"/>
        <v>0</v>
      </c>
      <c r="CP153" s="6">
        <f t="shared" si="16"/>
        <v>1</v>
      </c>
      <c r="CQ153" s="6">
        <f t="shared" si="179"/>
        <v>1</v>
      </c>
      <c r="CR153" s="81" t="str">
        <f t="shared" si="17"/>
        <v/>
      </c>
      <c r="CS153">
        <f t="shared" si="180"/>
        <v>0</v>
      </c>
      <c r="CT153">
        <f t="shared" si="19"/>
        <v>20</v>
      </c>
      <c r="CU153" t="str">
        <f t="shared" si="29"/>
        <v>rm</v>
      </c>
      <c r="CV153" s="81">
        <f t="shared" si="181"/>
        <v>720</v>
      </c>
      <c r="CW153" s="81">
        <f>(CV153/25)^1.5*(Calculator!$BU$4/10000)*CW$5</f>
        <v>399.08260508152779</v>
      </c>
      <c r="CX153" t="str">
        <f t="shared" si="182"/>
        <v>$20/rm</v>
      </c>
    </row>
    <row r="154" spans="2:102" x14ac:dyDescent="0.25">
      <c r="B154" s="115" t="s">
        <v>233</v>
      </c>
      <c r="C154" s="13">
        <v>46236.341666666667</v>
      </c>
      <c r="D154">
        <v>28304</v>
      </c>
      <c r="E154" s="54" t="s">
        <v>235</v>
      </c>
      <c r="F154" s="54" t="s">
        <v>537</v>
      </c>
      <c r="G154" s="54" t="s">
        <v>1934</v>
      </c>
      <c r="H154" s="55">
        <v>13.8</v>
      </c>
      <c r="I154" s="55">
        <v>12.8</v>
      </c>
      <c r="J154" s="55">
        <v>12.3</v>
      </c>
      <c r="K154" s="54"/>
      <c r="L154" s="56" t="b">
        <v>0</v>
      </c>
      <c r="M154" s="56" t="b">
        <v>0</v>
      </c>
      <c r="N154" s="54">
        <v>1</v>
      </c>
      <c r="O154" s="54" t="s">
        <v>228</v>
      </c>
      <c r="P154" s="54">
        <v>25</v>
      </c>
      <c r="Q154" s="54">
        <v>36</v>
      </c>
      <c r="R154" s="54" t="s">
        <v>538</v>
      </c>
      <c r="S154" s="54" t="s">
        <v>1920</v>
      </c>
      <c r="T154" s="54" t="s">
        <v>1921</v>
      </c>
      <c r="U154" s="54" t="s">
        <v>1918</v>
      </c>
      <c r="V154" s="54" t="s">
        <v>1935</v>
      </c>
      <c r="W154" s="54" t="b">
        <v>0</v>
      </c>
      <c r="X154" s="54"/>
      <c r="Y154" s="57" t="s">
        <v>1937</v>
      </c>
      <c r="Z154" s="54" t="s">
        <v>1924</v>
      </c>
      <c r="AA154" s="54"/>
      <c r="AB154" s="54" t="s">
        <v>1925</v>
      </c>
      <c r="AC154" s="56" t="b">
        <v>0</v>
      </c>
      <c r="AD154" s="56" t="b">
        <v>0</v>
      </c>
      <c r="AE154" s="54" t="s">
        <v>303</v>
      </c>
      <c r="AF154" s="58">
        <v>46233</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6.7000000000000004E-2</v>
      </c>
      <c r="BC154" s="60">
        <v>4.9000000000000004</v>
      </c>
      <c r="BD154" s="61">
        <v>5.1461E-2</v>
      </c>
      <c r="BE154" s="62" t="s">
        <v>293</v>
      </c>
      <c r="BF154" s="35">
        <f t="shared" si="183"/>
        <v>4.9000000000000004</v>
      </c>
      <c r="BG154" s="35">
        <f t="shared" si="183"/>
        <v>5.1461E-2</v>
      </c>
      <c r="BH154" s="35" t="str">
        <f t="shared" si="173"/>
        <v>Med</v>
      </c>
      <c r="BI154" s="110">
        <f t="shared" si="174"/>
        <v>0</v>
      </c>
      <c r="BJ154" s="83" t="str">
        <f>VLOOKUP($F154,REP_Info!$D$6:$H$250,5,FALSE)</f>
        <v/>
      </c>
      <c r="BK154" s="30">
        <f t="shared" ref="BK154:BN156" si="184">IF(BK$7&gt;0,(LOOKUP(BK$7,$AH154:$AL154,$AM154:$AQ154)+IF($AG154="Y",SUMPRODUCT($AX154:$BB154-$AW154:$BA154,BK$7-$AR154:$AV154,N(BK$7&gt;$AR154:$AV154)),BK$7*LOOKUP(BK$7,$AR154:$AV154,$AX154:$BB154))+IF($BE154="Y",$BF154,$BC154)+BK$7*IF($BE154="Y",$BG154,$BD154))*100/BK$7,"")</f>
        <v>13.8161</v>
      </c>
      <c r="BL154" s="30">
        <f t="shared" si="184"/>
        <v>12.831100000000001</v>
      </c>
      <c r="BM154" s="30">
        <f t="shared" si="184"/>
        <v>12.3386</v>
      </c>
      <c r="BN154" s="29">
        <f t="shared" si="184"/>
        <v>12.174433333333335</v>
      </c>
      <c r="BO154" s="85" t="str">
        <f t="shared" si="2"/>
        <v>$$$</v>
      </c>
      <c r="BP154" s="88" t="str">
        <f t="shared" si="175"/>
        <v>$$$</v>
      </c>
      <c r="BQ154" s="88" t="str">
        <f t="shared" si="4"/>
        <v>$$$</v>
      </c>
      <c r="BR154" s="88" t="str">
        <f t="shared" si="5"/>
        <v>$$$</v>
      </c>
      <c r="BS154" s="29" t="e">
        <f t="shared" si="176"/>
        <v>#N/A</v>
      </c>
      <c r="BT154" s="29" t="e">
        <f t="shared" si="176"/>
        <v>#N/A</v>
      </c>
      <c r="BU154" s="29" t="e">
        <f t="shared" si="176"/>
        <v>#N/A</v>
      </c>
      <c r="BV154" s="29" t="e">
        <f t="shared" si="176"/>
        <v>#N/A</v>
      </c>
      <c r="BW154" s="29" t="e">
        <f t="shared" si="176"/>
        <v>#N/A</v>
      </c>
      <c r="BX154" s="29" t="e">
        <f t="shared" si="176"/>
        <v>#N/A</v>
      </c>
      <c r="BY154" s="29" t="e">
        <f t="shared" si="176"/>
        <v>#N/A</v>
      </c>
      <c r="BZ154" s="29" t="e">
        <f t="shared" si="176"/>
        <v>#N/A</v>
      </c>
      <c r="CA154" s="29" t="e">
        <f t="shared" si="176"/>
        <v>#N/A</v>
      </c>
      <c r="CB154" s="29" t="e">
        <f t="shared" si="176"/>
        <v>#N/A</v>
      </c>
      <c r="CC154" s="29" t="e">
        <f t="shared" si="176"/>
        <v>#N/A</v>
      </c>
      <c r="CD154" s="29" t="e">
        <f t="shared" si="176"/>
        <v>#N/A</v>
      </c>
      <c r="CE154" s="6" t="str">
        <f t="shared" si="167"/>
        <v/>
      </c>
      <c r="CF154" s="27" t="e">
        <f>IF(AND(CI154,NOT(AD154)),LOOKUP(CF$5,{0,750,1500},H154:J154),"")</f>
        <v>#N/A</v>
      </c>
      <c r="CG154" s="6" t="str">
        <f t="shared" si="168"/>
        <v/>
      </c>
      <c r="CH154" t="e">
        <f t="shared" si="177"/>
        <v>#N/A</v>
      </c>
      <c r="CI154" t="e">
        <f t="shared" si="178"/>
        <v>#N/A</v>
      </c>
      <c r="CJ154" s="6" t="e">
        <f t="shared" si="11"/>
        <v>#N/A</v>
      </c>
      <c r="CK154" s="6">
        <f t="shared" si="12"/>
        <v>1</v>
      </c>
      <c r="CL154" s="6">
        <f t="shared" si="26"/>
        <v>1</v>
      </c>
      <c r="CM154" s="6">
        <f t="shared" si="13"/>
        <v>1</v>
      </c>
      <c r="CN154" s="6">
        <f t="shared" si="14"/>
        <v>1</v>
      </c>
      <c r="CO154" s="6">
        <f t="shared" si="15"/>
        <v>0</v>
      </c>
      <c r="CP154" s="6">
        <f t="shared" si="16"/>
        <v>1</v>
      </c>
      <c r="CQ154" s="6">
        <f t="shared" si="179"/>
        <v>1</v>
      </c>
      <c r="CR154" s="81" t="str">
        <f t="shared" si="17"/>
        <v/>
      </c>
      <c r="CS154">
        <f t="shared" si="180"/>
        <v>0</v>
      </c>
      <c r="CT154">
        <f t="shared" si="19"/>
        <v>20</v>
      </c>
      <c r="CU154" t="str">
        <f t="shared" si="29"/>
        <v>rm</v>
      </c>
      <c r="CV154" s="81">
        <f t="shared" si="181"/>
        <v>720</v>
      </c>
      <c r="CW154" s="81">
        <f>(CV154/25)^1.5*(Calculator!$BU$4/10000)*CW$5</f>
        <v>399.08260508152779</v>
      </c>
      <c r="CX154" t="str">
        <f t="shared" si="182"/>
        <v>$20/rm</v>
      </c>
    </row>
    <row r="155" spans="2:102" x14ac:dyDescent="0.25">
      <c r="B155" s="115" t="s">
        <v>233</v>
      </c>
      <c r="C155" s="13">
        <v>46237.767361111109</v>
      </c>
      <c r="D155">
        <v>22010</v>
      </c>
      <c r="E155" s="54" t="s">
        <v>237</v>
      </c>
      <c r="F155" s="54" t="s">
        <v>539</v>
      </c>
      <c r="G155" s="54" t="s">
        <v>540</v>
      </c>
      <c r="H155" s="55">
        <v>16.7</v>
      </c>
      <c r="I155" s="55">
        <v>15.8</v>
      </c>
      <c r="J155" s="55">
        <v>15.4</v>
      </c>
      <c r="K155" s="54"/>
      <c r="L155" s="56" t="b">
        <v>0</v>
      </c>
      <c r="M155" s="56" t="b">
        <v>0</v>
      </c>
      <c r="N155" s="54">
        <v>1</v>
      </c>
      <c r="O155" s="54" t="s">
        <v>228</v>
      </c>
      <c r="P155" s="54">
        <v>100</v>
      </c>
      <c r="Q155" s="54">
        <v>12</v>
      </c>
      <c r="R155" s="54">
        <v>150</v>
      </c>
      <c r="S155" s="54" t="s">
        <v>541</v>
      </c>
      <c r="T155" s="54" t="s">
        <v>542</v>
      </c>
      <c r="U155" s="54" t="s">
        <v>543</v>
      </c>
      <c r="V155" s="54" t="s">
        <v>544</v>
      </c>
      <c r="W155" s="54" t="b">
        <v>0</v>
      </c>
      <c r="X155" s="54"/>
      <c r="Y155" s="57" t="s">
        <v>2282</v>
      </c>
      <c r="Z155" s="54" t="s">
        <v>2283</v>
      </c>
      <c r="AA155" s="54"/>
      <c r="AB155" s="54" t="s">
        <v>545</v>
      </c>
      <c r="AC155" s="56" t="b">
        <v>1</v>
      </c>
      <c r="AD155" s="56" t="b">
        <v>0</v>
      </c>
      <c r="AE155" s="54" t="s">
        <v>303</v>
      </c>
      <c r="AF155" s="58">
        <v>46235</v>
      </c>
      <c r="AG155" s="62" t="s">
        <v>293</v>
      </c>
      <c r="AH155" s="54">
        <v>0</v>
      </c>
      <c r="AI155" s="54"/>
      <c r="AJ155" s="54"/>
      <c r="AK155" s="54"/>
      <c r="AL155" s="54"/>
      <c r="AM155" s="54">
        <v>5</v>
      </c>
      <c r="AN155" s="54"/>
      <c r="AO155" s="54"/>
      <c r="AP155" s="54"/>
      <c r="AQ155" s="54"/>
      <c r="AR155" s="54"/>
      <c r="AS155" s="54"/>
      <c r="AT155" s="54"/>
      <c r="AU155" s="54"/>
      <c r="AV155" s="54"/>
      <c r="AW155" s="54"/>
      <c r="AX155" s="59"/>
      <c r="AY155" s="59"/>
      <c r="AZ155" s="59"/>
      <c r="BA155" s="59"/>
      <c r="BB155" s="59">
        <v>8.8701000000000002E-2</v>
      </c>
      <c r="BC155" s="60">
        <v>4.0599999999999996</v>
      </c>
      <c r="BD155" s="61">
        <v>6.0295000000000001E-2</v>
      </c>
      <c r="BE155" s="62" t="s">
        <v>293</v>
      </c>
      <c r="BF155" s="35">
        <f t="shared" si="183"/>
        <v>4.0600000000000005</v>
      </c>
      <c r="BG155" s="35">
        <f t="shared" si="183"/>
        <v>6.0295000000000001E-2</v>
      </c>
      <c r="BH155" s="35" t="str">
        <f t="shared" si="173"/>
        <v>Med</v>
      </c>
      <c r="BI155" s="110">
        <f t="shared" si="174"/>
        <v>0</v>
      </c>
      <c r="BJ155" s="83">
        <f>VLOOKUP($F155,REP_Info!$D$6:$H$250,5,FALSE)</f>
        <v>0.67800000000000005</v>
      </c>
      <c r="BK155" s="30">
        <f t="shared" si="184"/>
        <v>16.711600000000001</v>
      </c>
      <c r="BL155" s="30">
        <f t="shared" si="184"/>
        <v>15.8056</v>
      </c>
      <c r="BM155" s="30">
        <f t="shared" si="184"/>
        <v>15.352600000000001</v>
      </c>
      <c r="BN155" s="29">
        <f t="shared" si="184"/>
        <v>15.201600000000001</v>
      </c>
      <c r="BO155" s="85" t="str">
        <f t="shared" si="2"/>
        <v>$$$</v>
      </c>
      <c r="BP155" s="88" t="str">
        <f t="shared" si="175"/>
        <v>$$$</v>
      </c>
      <c r="BQ155" s="88" t="str">
        <f t="shared" si="4"/>
        <v>$$$</v>
      </c>
      <c r="BR155" s="88" t="str">
        <f t="shared" si="5"/>
        <v>$$$</v>
      </c>
      <c r="BS155" s="29" t="e">
        <f t="shared" si="176"/>
        <v>#N/A</v>
      </c>
      <c r="BT155" s="29" t="e">
        <f t="shared" si="176"/>
        <v>#N/A</v>
      </c>
      <c r="BU155" s="29" t="e">
        <f t="shared" si="176"/>
        <v>#N/A</v>
      </c>
      <c r="BV155" s="29" t="e">
        <f t="shared" si="176"/>
        <v>#N/A</v>
      </c>
      <c r="BW155" s="29" t="e">
        <f t="shared" si="176"/>
        <v>#N/A</v>
      </c>
      <c r="BX155" s="29" t="e">
        <f t="shared" si="176"/>
        <v>#N/A</v>
      </c>
      <c r="BY155" s="29" t="e">
        <f t="shared" si="176"/>
        <v>#N/A</v>
      </c>
      <c r="BZ155" s="29" t="e">
        <f t="shared" si="176"/>
        <v>#N/A</v>
      </c>
      <c r="CA155" s="29" t="e">
        <f t="shared" si="176"/>
        <v>#N/A</v>
      </c>
      <c r="CB155" s="29" t="e">
        <f t="shared" si="176"/>
        <v>#N/A</v>
      </c>
      <c r="CC155" s="29" t="e">
        <f t="shared" si="176"/>
        <v>#N/A</v>
      </c>
      <c r="CD155" s="29" t="e">
        <f t="shared" si="176"/>
        <v>#N/A</v>
      </c>
      <c r="CE155" s="6" t="str">
        <f t="shared" si="167"/>
        <v/>
      </c>
      <c r="CF155" s="27" t="e">
        <f>IF(AND(CI155,NOT(AD155)),LOOKUP(CF$5,{0,750,1500},H155:J155),"")</f>
        <v>#N/A</v>
      </c>
      <c r="CG155" s="6" t="str">
        <f t="shared" si="168"/>
        <v/>
      </c>
      <c r="CH155" t="e">
        <f t="shared" si="177"/>
        <v>#N/A</v>
      </c>
      <c r="CI155" t="e">
        <f t="shared" si="178"/>
        <v>#N/A</v>
      </c>
      <c r="CJ155" s="6" t="e">
        <f t="shared" si="11"/>
        <v>#N/A</v>
      </c>
      <c r="CK155" s="6">
        <f t="shared" si="12"/>
        <v>1</v>
      </c>
      <c r="CL155" s="6">
        <f t="shared" si="26"/>
        <v>1</v>
      </c>
      <c r="CM155" s="6">
        <f t="shared" si="13"/>
        <v>1</v>
      </c>
      <c r="CN155" s="6">
        <f t="shared" si="14"/>
        <v>1</v>
      </c>
      <c r="CO155" s="6">
        <f t="shared" si="15"/>
        <v>1</v>
      </c>
      <c r="CP155" s="6">
        <f t="shared" si="16"/>
        <v>1</v>
      </c>
      <c r="CQ155" s="6">
        <f t="shared" si="179"/>
        <v>1</v>
      </c>
      <c r="CR155" s="81" t="str">
        <f t="shared" si="17"/>
        <v/>
      </c>
      <c r="CS155">
        <f t="shared" si="180"/>
        <v>0</v>
      </c>
      <c r="CT155">
        <f t="shared" si="19"/>
        <v>150</v>
      </c>
      <c r="CU155" t="str">
        <f t="shared" si="29"/>
        <v/>
      </c>
      <c r="CV155" s="81">
        <f t="shared" si="181"/>
        <v>150</v>
      </c>
      <c r="CW155" s="81">
        <f>(CV155/25)^1.5*(Calculator!$BU$4/10000)*CW$5</f>
        <v>37.949052970673385</v>
      </c>
      <c r="CX155" t="str">
        <f t="shared" si="182"/>
        <v>$150</v>
      </c>
    </row>
    <row r="156" spans="2:102" x14ac:dyDescent="0.25">
      <c r="B156" s="115" t="s">
        <v>233</v>
      </c>
      <c r="C156" s="13">
        <v>46237.767361111109</v>
      </c>
      <c r="D156">
        <v>22013</v>
      </c>
      <c r="E156" s="54" t="s">
        <v>235</v>
      </c>
      <c r="F156" s="54" t="s">
        <v>539</v>
      </c>
      <c r="G156" s="54" t="s">
        <v>540</v>
      </c>
      <c r="H156" s="55">
        <v>16</v>
      </c>
      <c r="I156" s="55">
        <v>15</v>
      </c>
      <c r="J156" s="55">
        <v>14.499999999999998</v>
      </c>
      <c r="K156" s="54"/>
      <c r="L156" s="56" t="b">
        <v>0</v>
      </c>
      <c r="M156" s="56" t="b">
        <v>0</v>
      </c>
      <c r="N156" s="54">
        <v>1</v>
      </c>
      <c r="O156" s="54" t="s">
        <v>228</v>
      </c>
      <c r="P156" s="54">
        <v>100</v>
      </c>
      <c r="Q156" s="54">
        <v>12</v>
      </c>
      <c r="R156" s="54">
        <v>150</v>
      </c>
      <c r="S156" s="54" t="s">
        <v>541</v>
      </c>
      <c r="T156" s="54" t="s">
        <v>542</v>
      </c>
      <c r="U156" s="54" t="s">
        <v>543</v>
      </c>
      <c r="V156" s="54" t="s">
        <v>544</v>
      </c>
      <c r="W156" s="54" t="b">
        <v>0</v>
      </c>
      <c r="X156" s="54"/>
      <c r="Y156" s="57" t="s">
        <v>2284</v>
      </c>
      <c r="Z156" s="54" t="s">
        <v>546</v>
      </c>
      <c r="AA156" s="54"/>
      <c r="AB156" s="54" t="s">
        <v>545</v>
      </c>
      <c r="AC156" s="56" t="b">
        <v>1</v>
      </c>
      <c r="AD156" s="56" t="b">
        <v>0</v>
      </c>
      <c r="AE156" s="54" t="s">
        <v>303</v>
      </c>
      <c r="AF156" s="58">
        <v>46174</v>
      </c>
      <c r="AG156" s="62" t="s">
        <v>293</v>
      </c>
      <c r="AH156" s="54">
        <v>0</v>
      </c>
      <c r="AI156" s="54"/>
      <c r="AJ156" s="54"/>
      <c r="AK156" s="54"/>
      <c r="AL156" s="54"/>
      <c r="AM156" s="54">
        <v>5</v>
      </c>
      <c r="AN156" s="54"/>
      <c r="AO156" s="54"/>
      <c r="AP156" s="54"/>
      <c r="AQ156" s="54"/>
      <c r="AR156" s="54"/>
      <c r="AS156" s="54"/>
      <c r="AT156" s="54"/>
      <c r="AU156" s="54"/>
      <c r="AV156" s="54"/>
      <c r="AW156" s="54"/>
      <c r="AX156" s="59"/>
      <c r="AY156" s="59"/>
      <c r="AZ156" s="59"/>
      <c r="BA156" s="59"/>
      <c r="BB156" s="59">
        <v>8.8555999999999996E-2</v>
      </c>
      <c r="BC156" s="60">
        <v>4.9000000000000004</v>
      </c>
      <c r="BD156" s="61">
        <v>5.1461E-2</v>
      </c>
      <c r="BE156" s="62" t="s">
        <v>293</v>
      </c>
      <c r="BF156" s="35">
        <f t="shared" si="183"/>
        <v>4.9000000000000004</v>
      </c>
      <c r="BG156" s="35">
        <f t="shared" si="183"/>
        <v>5.1461E-2</v>
      </c>
      <c r="BH156" s="35" t="str">
        <f t="shared" si="173"/>
        <v>Med</v>
      </c>
      <c r="BI156" s="110">
        <f t="shared" si="174"/>
        <v>0</v>
      </c>
      <c r="BJ156" s="83">
        <f>VLOOKUP($F156,REP_Info!$D$6:$H$250,5,FALSE)</f>
        <v>0.67800000000000005</v>
      </c>
      <c r="BK156" s="30">
        <f t="shared" si="184"/>
        <v>15.9817</v>
      </c>
      <c r="BL156" s="30">
        <f t="shared" si="184"/>
        <v>14.991700000000002</v>
      </c>
      <c r="BM156" s="30">
        <f t="shared" si="184"/>
        <v>14.496699999999999</v>
      </c>
      <c r="BN156" s="29">
        <f t="shared" si="184"/>
        <v>14.331700000000001</v>
      </c>
      <c r="BO156" s="85" t="str">
        <f t="shared" si="2"/>
        <v>$$$</v>
      </c>
      <c r="BP156" s="88" t="str">
        <f t="shared" si="175"/>
        <v>$$$</v>
      </c>
      <c r="BQ156" s="88" t="str">
        <f t="shared" si="4"/>
        <v>$$$</v>
      </c>
      <c r="BR156" s="88" t="str">
        <f t="shared" si="5"/>
        <v>$$$</v>
      </c>
      <c r="BS156" s="29" t="e">
        <f t="shared" si="176"/>
        <v>#N/A</v>
      </c>
      <c r="BT156" s="29" t="e">
        <f t="shared" si="176"/>
        <v>#N/A</v>
      </c>
      <c r="BU156" s="29" t="e">
        <f t="shared" si="176"/>
        <v>#N/A</v>
      </c>
      <c r="BV156" s="29" t="e">
        <f t="shared" si="176"/>
        <v>#N/A</v>
      </c>
      <c r="BW156" s="29" t="e">
        <f t="shared" si="176"/>
        <v>#N/A</v>
      </c>
      <c r="BX156" s="29" t="e">
        <f t="shared" si="176"/>
        <v>#N/A</v>
      </c>
      <c r="BY156" s="29" t="e">
        <f t="shared" si="176"/>
        <v>#N/A</v>
      </c>
      <c r="BZ156" s="29" t="e">
        <f t="shared" si="176"/>
        <v>#N/A</v>
      </c>
      <c r="CA156" s="29" t="e">
        <f t="shared" si="176"/>
        <v>#N/A</v>
      </c>
      <c r="CB156" s="29" t="e">
        <f t="shared" si="176"/>
        <v>#N/A</v>
      </c>
      <c r="CC156" s="29" t="e">
        <f t="shared" si="176"/>
        <v>#N/A</v>
      </c>
      <c r="CD156" s="29" t="e">
        <f t="shared" si="176"/>
        <v>#N/A</v>
      </c>
      <c r="CE156" s="6" t="str">
        <f t="shared" si="167"/>
        <v/>
      </c>
      <c r="CF156" s="27" t="e">
        <f>IF(AND(CI156,NOT(AD156)),LOOKUP(CF$5,{0,750,1500},H156:J156),"")</f>
        <v>#N/A</v>
      </c>
      <c r="CG156" s="6" t="str">
        <f t="shared" si="168"/>
        <v/>
      </c>
      <c r="CH156" t="e">
        <f t="shared" si="177"/>
        <v>#N/A</v>
      </c>
      <c r="CI156" t="e">
        <f t="shared" si="178"/>
        <v>#N/A</v>
      </c>
      <c r="CJ156" s="6" t="e">
        <f t="shared" si="11"/>
        <v>#N/A</v>
      </c>
      <c r="CK156" s="6">
        <f t="shared" si="12"/>
        <v>1</v>
      </c>
      <c r="CL156" s="6">
        <f t="shared" si="26"/>
        <v>1</v>
      </c>
      <c r="CM156" s="6">
        <f t="shared" si="13"/>
        <v>1</v>
      </c>
      <c r="CN156" s="6">
        <f t="shared" si="14"/>
        <v>1</v>
      </c>
      <c r="CO156" s="6">
        <f t="shared" si="15"/>
        <v>1</v>
      </c>
      <c r="CP156" s="6">
        <f t="shared" si="16"/>
        <v>1</v>
      </c>
      <c r="CQ156" s="6">
        <f t="shared" si="179"/>
        <v>1</v>
      </c>
      <c r="CR156" s="81" t="str">
        <f t="shared" si="17"/>
        <v/>
      </c>
      <c r="CS156">
        <f t="shared" si="180"/>
        <v>0</v>
      </c>
      <c r="CT156">
        <f t="shared" si="19"/>
        <v>150</v>
      </c>
      <c r="CU156" t="str">
        <f t="shared" si="29"/>
        <v/>
      </c>
      <c r="CV156" s="81">
        <f t="shared" si="181"/>
        <v>150</v>
      </c>
      <c r="CW156" s="81">
        <f>(CV156/25)^1.5*(Calculator!$BU$4/10000)*CW$5</f>
        <v>37.949052970673385</v>
      </c>
      <c r="CX156" t="str">
        <f t="shared" si="182"/>
        <v>$150</v>
      </c>
    </row>
    <row r="157" spans="2:102" x14ac:dyDescent="0.25">
      <c r="B157" s="115" t="s">
        <v>233</v>
      </c>
      <c r="C157" s="13">
        <v>46174.569444444445</v>
      </c>
      <c r="D157">
        <v>22016</v>
      </c>
      <c r="E157" s="54" t="s">
        <v>235</v>
      </c>
      <c r="F157" s="54" t="s">
        <v>539</v>
      </c>
      <c r="G157" s="54" t="s">
        <v>547</v>
      </c>
      <c r="H157" s="55">
        <v>19.100000000000001</v>
      </c>
      <c r="I157" s="55">
        <v>18.099999999999998</v>
      </c>
      <c r="J157" s="55">
        <v>17.599999999999998</v>
      </c>
      <c r="K157" s="54"/>
      <c r="L157" s="56" t="b">
        <v>0</v>
      </c>
      <c r="M157" s="56" t="b">
        <v>0</v>
      </c>
      <c r="N157" s="54">
        <v>0</v>
      </c>
      <c r="O157" s="54" t="s">
        <v>238</v>
      </c>
      <c r="P157" s="54">
        <v>100</v>
      </c>
      <c r="Q157" s="54">
        <v>0</v>
      </c>
      <c r="R157" s="54">
        <v>0</v>
      </c>
      <c r="S157" s="54" t="s">
        <v>541</v>
      </c>
      <c r="T157" s="54" t="s">
        <v>548</v>
      </c>
      <c r="U157" s="54" t="s">
        <v>543</v>
      </c>
      <c r="V157" s="54" t="s">
        <v>544</v>
      </c>
      <c r="W157" s="54" t="b">
        <v>0</v>
      </c>
      <c r="X157" s="54"/>
      <c r="Y157" s="57" t="s">
        <v>1667</v>
      </c>
      <c r="Z157" s="54" t="s">
        <v>546</v>
      </c>
      <c r="AA157" s="54"/>
      <c r="AB157" s="54" t="s">
        <v>545</v>
      </c>
      <c r="AC157" s="56" t="b">
        <v>0</v>
      </c>
      <c r="AD157" s="56" t="b">
        <v>0</v>
      </c>
      <c r="AE157" s="54"/>
      <c r="AF157" s="58"/>
      <c r="AG157" s="62" t="s">
        <v>293</v>
      </c>
      <c r="AH157" s="54"/>
      <c r="AI157" s="54"/>
      <c r="AJ157" s="54"/>
      <c r="AK157" s="54"/>
      <c r="AL157" s="54"/>
      <c r="AM157" s="54">
        <v>0</v>
      </c>
      <c r="AN157" s="54"/>
      <c r="AO157" s="54"/>
      <c r="AP157" s="54"/>
      <c r="AQ157" s="54"/>
      <c r="AR157" s="54"/>
      <c r="AS157" s="54"/>
      <c r="AT157" s="54"/>
      <c r="AU157" s="54"/>
      <c r="AV157" s="54"/>
      <c r="AW157" s="54"/>
      <c r="AX157" s="59"/>
      <c r="AY157" s="59"/>
      <c r="AZ157" s="59"/>
      <c r="BA157" s="59"/>
      <c r="BB157" s="59"/>
      <c r="BC157" s="60"/>
      <c r="BD157" s="61"/>
      <c r="BE157" s="62"/>
      <c r="BF157" s="35">
        <f t="shared" si="0"/>
        <v>4.9000000000000004</v>
      </c>
      <c r="BG157" s="35">
        <f t="shared" si="0"/>
        <v>5.1461E-2</v>
      </c>
      <c r="BH157" s="35" t="str">
        <f t="shared" ref="BH157:BH168" si="185">IF(ISTEXT(BE157),IF(AND(AV157=0,SUM(AN157:AQ157)=0),IF(AM157&lt;=0,IF(BE157="Y","Low","Flat"),"Med"),"High"),"?")</f>
        <v>?</v>
      </c>
      <c r="BI157" s="110" t="str">
        <f t="shared" ref="BI157:BI168" si="186">IF(ISNUMBER(AH157),0*BI$5*SIN((EDATE($A$3,$Q157)-DATE(YEAR(EDATE($A$3,$Q157)),1,0)-BI$4)*2*PI()/365),"")</f>
        <v/>
      </c>
      <c r="BJ157" s="83">
        <f>VLOOKUP($F157,REP_Info!$D$6:$H$250,5,FALSE)</f>
        <v>0.67800000000000005</v>
      </c>
      <c r="BK157" s="30" t="e">
        <f t="shared" si="1"/>
        <v>#N/A</v>
      </c>
      <c r="BL157" s="30" t="e">
        <f t="shared" si="1"/>
        <v>#N/A</v>
      </c>
      <c r="BM157" s="30" t="e">
        <f t="shared" si="1"/>
        <v>#N/A</v>
      </c>
      <c r="BN157" s="29" t="e">
        <f t="shared" si="1"/>
        <v>#N/A</v>
      </c>
      <c r="BO157" s="85" t="str">
        <f t="shared" si="2"/>
        <v>$$$</v>
      </c>
      <c r="BP157" s="88" t="str">
        <f t="shared" ref="BP157:BP168" si="187">IFERROR(BO157*100/BO$5,"$$$")</f>
        <v>$$$</v>
      </c>
      <c r="BQ157" s="88" t="str">
        <f t="shared" si="4"/>
        <v>$$$</v>
      </c>
      <c r="BR157" s="88" t="str">
        <f t="shared" si="5"/>
        <v>$$$</v>
      </c>
      <c r="BS157" s="29" t="e">
        <f t="shared" si="6"/>
        <v>#N/A</v>
      </c>
      <c r="BT157" s="29" t="e">
        <f t="shared" si="6"/>
        <v>#N/A</v>
      </c>
      <c r="BU157" s="29" t="e">
        <f t="shared" si="6"/>
        <v>#N/A</v>
      </c>
      <c r="BV157" s="29" t="e">
        <f t="shared" si="6"/>
        <v>#N/A</v>
      </c>
      <c r="BW157" s="29" t="e">
        <f t="shared" si="6"/>
        <v>#N/A</v>
      </c>
      <c r="BX157" s="29" t="e">
        <f t="shared" si="6"/>
        <v>#N/A</v>
      </c>
      <c r="BY157" s="29" t="e">
        <f t="shared" si="6"/>
        <v>#N/A</v>
      </c>
      <c r="BZ157" s="29" t="e">
        <f t="shared" si="6"/>
        <v>#N/A</v>
      </c>
      <c r="CA157" s="29" t="e">
        <f t="shared" si="6"/>
        <v>#N/A</v>
      </c>
      <c r="CB157" s="29" t="e">
        <f t="shared" si="6"/>
        <v>#N/A</v>
      </c>
      <c r="CC157" s="29" t="e">
        <f t="shared" si="6"/>
        <v>#N/A</v>
      </c>
      <c r="CD157" s="29" t="e">
        <f t="shared" si="6"/>
        <v>#N/A</v>
      </c>
      <c r="CE157" s="6" t="str">
        <f t="shared" si="167"/>
        <v/>
      </c>
      <c r="CF157" s="27" t="e">
        <f>IF(AND(CI157,NOT(AD157)),LOOKUP(CF$5,{0,750,1500},H157:J157),"")</f>
        <v>#N/A</v>
      </c>
      <c r="CG157" s="6" t="str">
        <f t="shared" si="168"/>
        <v/>
      </c>
      <c r="CH157" t="e">
        <f t="shared" ref="CH157:CH168" si="188">IF(CI157,IF(ISNUMBER(BO157),BO157,100000)+CV157/10000+IF(ISNUMBER(BJ157),BJ157,2)/10000-P157/100000+ROW()/10000000,"")</f>
        <v>#N/A</v>
      </c>
      <c r="CI157" t="e">
        <f t="shared" ref="CI157:CI168" si="189">PRODUCT(CJ157:CQ157)</f>
        <v>#N/A</v>
      </c>
      <c r="CJ157" s="6" t="e">
        <f t="shared" si="11"/>
        <v>#N/A</v>
      </c>
      <c r="CK157" s="6">
        <f t="shared" si="12"/>
        <v>1</v>
      </c>
      <c r="CL157" s="6">
        <f t="shared" si="26"/>
        <v>1</v>
      </c>
      <c r="CM157" s="6">
        <f t="shared" si="13"/>
        <v>0</v>
      </c>
      <c r="CN157" s="6">
        <f t="shared" si="14"/>
        <v>0</v>
      </c>
      <c r="CO157" s="6">
        <f t="shared" si="15"/>
        <v>1</v>
      </c>
      <c r="CP157" s="6">
        <f t="shared" si="16"/>
        <v>1</v>
      </c>
      <c r="CQ157" s="6">
        <f t="shared" ref="CQ157:CQ168" si="190">IF(CQ$5="Any",1,IF(AND(CQ$5="Med",AV157=0,SUM(AN157:AQ157)=0),1,IF(AND(CQ$5="Low",AV157=0,SUM(AN157:AQ157)=0,AM157=0),1,IF(AND(CQ$5="Flat",AV157=0,SUM(AN157:AQ157)=0,AM157=0,IFERROR(NOT(BE157="Y"),0)),1,0))))</f>
        <v>1</v>
      </c>
      <c r="CR157" s="81" t="str">
        <f t="shared" si="17"/>
        <v/>
      </c>
      <c r="CS157" t="e">
        <f t="shared" ref="CS157:CS168" si="191">CS$5*(12/(MIN(12,Q157))-1)</f>
        <v>#DIV/0!</v>
      </c>
      <c r="CT157">
        <f t="shared" si="19"/>
        <v>0</v>
      </c>
      <c r="CU157" t="str">
        <f t="shared" si="29"/>
        <v/>
      </c>
      <c r="CV157" s="81">
        <f t="shared" ref="CV157:CV168" si="192">CT157*IF(CU157="",1,Q157)</f>
        <v>0</v>
      </c>
      <c r="CW157" s="81">
        <f>(CV157/25)^1.5*(Calculator!$BU$4/10000)*CW$5</f>
        <v>0</v>
      </c>
      <c r="CX157" t="str">
        <f t="shared" ref="CX157:CX168" si="193">"$"&amp;IF(LEFT(CU157,1)="r",CT157&amp;"/"&amp;CU157,CV157)</f>
        <v>$0</v>
      </c>
    </row>
    <row r="158" spans="2:102" x14ac:dyDescent="0.25">
      <c r="B158" s="115" t="s">
        <v>233</v>
      </c>
      <c r="C158" s="13">
        <v>46237.767361111109</v>
      </c>
      <c r="D158">
        <v>22020</v>
      </c>
      <c r="E158" s="54" t="s">
        <v>237</v>
      </c>
      <c r="F158" s="54" t="s">
        <v>539</v>
      </c>
      <c r="G158" s="54" t="s">
        <v>547</v>
      </c>
      <c r="H158" s="55">
        <v>19.2</v>
      </c>
      <c r="I158" s="55">
        <v>18.3</v>
      </c>
      <c r="J158" s="55">
        <v>17.899999999999999</v>
      </c>
      <c r="K158" s="54"/>
      <c r="L158" s="56" t="b">
        <v>0</v>
      </c>
      <c r="M158" s="56" t="b">
        <v>0</v>
      </c>
      <c r="N158" s="54">
        <v>0</v>
      </c>
      <c r="O158" s="54" t="s">
        <v>238</v>
      </c>
      <c r="P158" s="54">
        <v>100</v>
      </c>
      <c r="Q158" s="54">
        <v>0</v>
      </c>
      <c r="R158" s="54">
        <v>0</v>
      </c>
      <c r="S158" s="54" t="s">
        <v>541</v>
      </c>
      <c r="T158" s="54" t="s">
        <v>548</v>
      </c>
      <c r="U158" s="54" t="s">
        <v>543</v>
      </c>
      <c r="V158" s="54" t="s">
        <v>544</v>
      </c>
      <c r="W158" s="54" t="b">
        <v>0</v>
      </c>
      <c r="X158" s="54"/>
      <c r="Y158" s="57" t="s">
        <v>2285</v>
      </c>
      <c r="Z158" s="54" t="s">
        <v>2286</v>
      </c>
      <c r="AA158" s="54"/>
      <c r="AB158" s="54" t="s">
        <v>545</v>
      </c>
      <c r="AC158" s="56" t="b">
        <v>0</v>
      </c>
      <c r="AD158" s="56" t="b">
        <v>0</v>
      </c>
      <c r="AE158" s="54"/>
      <c r="AF158" s="58"/>
      <c r="AG158" s="62" t="s">
        <v>293</v>
      </c>
      <c r="AH158" s="54"/>
      <c r="AI158" s="54"/>
      <c r="AJ158" s="54"/>
      <c r="AK158" s="54"/>
      <c r="AL158" s="54"/>
      <c r="AM158" s="54">
        <v>0</v>
      </c>
      <c r="AN158" s="54"/>
      <c r="AO158" s="54"/>
      <c r="AP158" s="54"/>
      <c r="AQ158" s="54"/>
      <c r="AR158" s="54"/>
      <c r="AS158" s="54"/>
      <c r="AT158" s="54"/>
      <c r="AU158" s="54"/>
      <c r="AV158" s="54"/>
      <c r="AW158" s="54"/>
      <c r="AX158" s="59"/>
      <c r="AY158" s="59"/>
      <c r="AZ158" s="59"/>
      <c r="BA158" s="59"/>
      <c r="BB158" s="59"/>
      <c r="BC158" s="60"/>
      <c r="BD158" s="61"/>
      <c r="BE158" s="62"/>
      <c r="BF158" s="35">
        <f t="shared" si="0"/>
        <v>4.0600000000000005</v>
      </c>
      <c r="BG158" s="35">
        <f t="shared" si="0"/>
        <v>6.0295000000000001E-2</v>
      </c>
      <c r="BH158" s="35" t="str">
        <f t="shared" si="185"/>
        <v>?</v>
      </c>
      <c r="BI158" s="110" t="str">
        <f t="shared" si="186"/>
        <v/>
      </c>
      <c r="BJ158" s="83">
        <f>VLOOKUP($F158,REP_Info!$D$6:$H$250,5,FALSE)</f>
        <v>0.67800000000000005</v>
      </c>
      <c r="BK158" s="30" t="e">
        <f t="shared" si="1"/>
        <v>#N/A</v>
      </c>
      <c r="BL158" s="30" t="e">
        <f t="shared" si="1"/>
        <v>#N/A</v>
      </c>
      <c r="BM158" s="30" t="e">
        <f t="shared" si="1"/>
        <v>#N/A</v>
      </c>
      <c r="BN158" s="29" t="e">
        <f t="shared" si="1"/>
        <v>#N/A</v>
      </c>
      <c r="BO158" s="85" t="str">
        <f t="shared" si="2"/>
        <v>$$$</v>
      </c>
      <c r="BP158" s="88" t="str">
        <f t="shared" si="187"/>
        <v>$$$</v>
      </c>
      <c r="BQ158" s="88" t="str">
        <f t="shared" si="4"/>
        <v>$$$</v>
      </c>
      <c r="BR158" s="88" t="str">
        <f t="shared" si="5"/>
        <v>$$$</v>
      </c>
      <c r="BS158" s="29" t="e">
        <f t="shared" si="6"/>
        <v>#N/A</v>
      </c>
      <c r="BT158" s="29" t="e">
        <f t="shared" si="6"/>
        <v>#N/A</v>
      </c>
      <c r="BU158" s="29" t="e">
        <f t="shared" si="6"/>
        <v>#N/A</v>
      </c>
      <c r="BV158" s="29" t="e">
        <f t="shared" si="6"/>
        <v>#N/A</v>
      </c>
      <c r="BW158" s="29" t="e">
        <f t="shared" si="6"/>
        <v>#N/A</v>
      </c>
      <c r="BX158" s="29" t="e">
        <f t="shared" si="6"/>
        <v>#N/A</v>
      </c>
      <c r="BY158" s="29" t="e">
        <f t="shared" si="6"/>
        <v>#N/A</v>
      </c>
      <c r="BZ158" s="29" t="e">
        <f t="shared" si="6"/>
        <v>#N/A</v>
      </c>
      <c r="CA158" s="29" t="e">
        <f t="shared" si="6"/>
        <v>#N/A</v>
      </c>
      <c r="CB158" s="29" t="e">
        <f t="shared" si="6"/>
        <v>#N/A</v>
      </c>
      <c r="CC158" s="29" t="e">
        <f t="shared" si="6"/>
        <v>#N/A</v>
      </c>
      <c r="CD158" s="29" t="e">
        <f t="shared" si="6"/>
        <v>#N/A</v>
      </c>
      <c r="CE158" s="6" t="str">
        <f t="shared" si="167"/>
        <v/>
      </c>
      <c r="CF158" s="27" t="e">
        <f>IF(AND(CI158,NOT(AD158)),LOOKUP(CF$5,{0,750,1500},H158:J158),"")</f>
        <v>#N/A</v>
      </c>
      <c r="CG158" s="6" t="str">
        <f t="shared" si="168"/>
        <v/>
      </c>
      <c r="CH158" t="e">
        <f t="shared" si="188"/>
        <v>#N/A</v>
      </c>
      <c r="CI158" t="e">
        <f t="shared" si="189"/>
        <v>#N/A</v>
      </c>
      <c r="CJ158" s="6" t="e">
        <f t="shared" si="11"/>
        <v>#N/A</v>
      </c>
      <c r="CK158" s="6">
        <f t="shared" si="12"/>
        <v>1</v>
      </c>
      <c r="CL158" s="6">
        <f t="shared" si="26"/>
        <v>1</v>
      </c>
      <c r="CM158" s="6">
        <f t="shared" si="13"/>
        <v>0</v>
      </c>
      <c r="CN158" s="6">
        <f t="shared" si="14"/>
        <v>0</v>
      </c>
      <c r="CO158" s="6">
        <f t="shared" si="15"/>
        <v>1</v>
      </c>
      <c r="CP158" s="6">
        <f t="shared" si="16"/>
        <v>1</v>
      </c>
      <c r="CQ158" s="6">
        <f t="shared" si="190"/>
        <v>1</v>
      </c>
      <c r="CR158" s="81" t="str">
        <f t="shared" si="17"/>
        <v/>
      </c>
      <c r="CS158" t="e">
        <f t="shared" si="191"/>
        <v>#DIV/0!</v>
      </c>
      <c r="CT158">
        <f t="shared" si="19"/>
        <v>0</v>
      </c>
      <c r="CU158" t="str">
        <f t="shared" si="29"/>
        <v/>
      </c>
      <c r="CV158" s="81">
        <f t="shared" si="192"/>
        <v>0</v>
      </c>
      <c r="CW158" s="81">
        <f>(CV158/25)^1.5*(Calculator!$BU$4/10000)*CW$5</f>
        <v>0</v>
      </c>
      <c r="CX158" t="str">
        <f t="shared" si="193"/>
        <v>$0</v>
      </c>
    </row>
    <row r="159" spans="2:102" x14ac:dyDescent="0.25">
      <c r="B159" s="115" t="s">
        <v>233</v>
      </c>
      <c r="C159" s="13">
        <v>46237.767361111109</v>
      </c>
      <c r="D159">
        <v>24534</v>
      </c>
      <c r="E159" s="54" t="s">
        <v>237</v>
      </c>
      <c r="F159" s="54" t="s">
        <v>539</v>
      </c>
      <c r="G159" s="54" t="s">
        <v>549</v>
      </c>
      <c r="H159" s="55">
        <v>17.2</v>
      </c>
      <c r="I159" s="55">
        <v>16.3</v>
      </c>
      <c r="J159" s="55">
        <v>15.9</v>
      </c>
      <c r="K159" s="54"/>
      <c r="L159" s="56" t="b">
        <v>0</v>
      </c>
      <c r="M159" s="56" t="b">
        <v>0</v>
      </c>
      <c r="N159" s="54">
        <v>1</v>
      </c>
      <c r="O159" s="54" t="s">
        <v>228</v>
      </c>
      <c r="P159" s="54">
        <v>100</v>
      </c>
      <c r="Q159" s="54">
        <v>24</v>
      </c>
      <c r="R159" s="54">
        <v>295</v>
      </c>
      <c r="S159" s="54" t="s">
        <v>541</v>
      </c>
      <c r="T159" s="54" t="s">
        <v>542</v>
      </c>
      <c r="U159" s="54" t="s">
        <v>543</v>
      </c>
      <c r="V159" s="54" t="s">
        <v>544</v>
      </c>
      <c r="W159" s="54" t="b">
        <v>0</v>
      </c>
      <c r="X159" s="54"/>
      <c r="Y159" s="57" t="s">
        <v>2287</v>
      </c>
      <c r="Z159" s="54" t="s">
        <v>2283</v>
      </c>
      <c r="AA159" s="54"/>
      <c r="AB159" s="54" t="s">
        <v>545</v>
      </c>
      <c r="AC159" s="56" t="b">
        <v>1</v>
      </c>
      <c r="AD159" s="56" t="b">
        <v>0</v>
      </c>
      <c r="AE159" s="54" t="s">
        <v>303</v>
      </c>
      <c r="AF159" s="58">
        <v>46235</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9.3701000000000007E-2</v>
      </c>
      <c r="BC159" s="60">
        <v>4.0599999999999996</v>
      </c>
      <c r="BD159" s="61">
        <v>6.0295000000000001E-2</v>
      </c>
      <c r="BE159" s="62" t="s">
        <v>293</v>
      </c>
      <c r="BF159" s="35">
        <f t="shared" si="0"/>
        <v>4.0600000000000005</v>
      </c>
      <c r="BG159" s="35">
        <f t="shared" si="0"/>
        <v>6.0295000000000001E-2</v>
      </c>
      <c r="BH159" s="35" t="str">
        <f t="shared" si="185"/>
        <v>Med</v>
      </c>
      <c r="BI159" s="110">
        <f t="shared" si="186"/>
        <v>0</v>
      </c>
      <c r="BJ159" s="83">
        <f>VLOOKUP($F159,REP_Info!$D$6:$H$250,5,FALSE)</f>
        <v>0.67800000000000005</v>
      </c>
      <c r="BK159" s="30">
        <f t="shared" si="1"/>
        <v>17.211600000000001</v>
      </c>
      <c r="BL159" s="30">
        <f t="shared" si="1"/>
        <v>16.305600000000002</v>
      </c>
      <c r="BM159" s="30">
        <f t="shared" si="1"/>
        <v>15.852600000000001</v>
      </c>
      <c r="BN159" s="29">
        <f t="shared" si="1"/>
        <v>15.701600000000001</v>
      </c>
      <c r="BO159" s="85" t="str">
        <f t="shared" si="2"/>
        <v>$$$</v>
      </c>
      <c r="BP159" s="88" t="str">
        <f t="shared" si="187"/>
        <v>$$$</v>
      </c>
      <c r="BQ159" s="88" t="str">
        <f t="shared" si="4"/>
        <v>$$$</v>
      </c>
      <c r="BR159" s="88" t="str">
        <f t="shared" si="5"/>
        <v>$$$</v>
      </c>
      <c r="BS159" s="29" t="e">
        <f t="shared" si="6"/>
        <v>#N/A</v>
      </c>
      <c r="BT159" s="29" t="e">
        <f t="shared" si="6"/>
        <v>#N/A</v>
      </c>
      <c r="BU159" s="29" t="e">
        <f t="shared" si="6"/>
        <v>#N/A</v>
      </c>
      <c r="BV159" s="29" t="e">
        <f t="shared" si="6"/>
        <v>#N/A</v>
      </c>
      <c r="BW159" s="29" t="e">
        <f t="shared" si="6"/>
        <v>#N/A</v>
      </c>
      <c r="BX159" s="29" t="e">
        <f t="shared" si="6"/>
        <v>#N/A</v>
      </c>
      <c r="BY159" s="29" t="e">
        <f t="shared" si="6"/>
        <v>#N/A</v>
      </c>
      <c r="BZ159" s="29" t="e">
        <f t="shared" si="6"/>
        <v>#N/A</v>
      </c>
      <c r="CA159" s="29" t="e">
        <f t="shared" si="6"/>
        <v>#N/A</v>
      </c>
      <c r="CB159" s="29" t="e">
        <f t="shared" si="6"/>
        <v>#N/A</v>
      </c>
      <c r="CC159" s="29" t="e">
        <f t="shared" si="6"/>
        <v>#N/A</v>
      </c>
      <c r="CD159" s="29" t="e">
        <f t="shared" si="6"/>
        <v>#N/A</v>
      </c>
      <c r="CE159" s="6" t="str">
        <f t="shared" si="167"/>
        <v/>
      </c>
      <c r="CF159" s="27" t="e">
        <f>IF(AND(CI159,NOT(AD159)),LOOKUP(CF$5,{0,750,1500},H159:J159),"")</f>
        <v>#N/A</v>
      </c>
      <c r="CG159" s="6" t="str">
        <f t="shared" si="168"/>
        <v/>
      </c>
      <c r="CH159" t="e">
        <f t="shared" si="188"/>
        <v>#N/A</v>
      </c>
      <c r="CI159" t="e">
        <f t="shared" si="189"/>
        <v>#N/A</v>
      </c>
      <c r="CJ159" s="6" t="e">
        <f t="shared" si="11"/>
        <v>#N/A</v>
      </c>
      <c r="CK159" s="6">
        <f t="shared" si="12"/>
        <v>1</v>
      </c>
      <c r="CL159" s="6">
        <f t="shared" si="26"/>
        <v>1</v>
      </c>
      <c r="CM159" s="6">
        <f t="shared" si="13"/>
        <v>1</v>
      </c>
      <c r="CN159" s="6">
        <f t="shared" si="14"/>
        <v>1</v>
      </c>
      <c r="CO159" s="6">
        <f t="shared" si="15"/>
        <v>0</v>
      </c>
      <c r="CP159" s="6">
        <f t="shared" si="16"/>
        <v>1</v>
      </c>
      <c r="CQ159" s="6">
        <f t="shared" si="190"/>
        <v>1</v>
      </c>
      <c r="CR159" s="81" t="str">
        <f t="shared" si="17"/>
        <v/>
      </c>
      <c r="CS159">
        <f t="shared" si="191"/>
        <v>0</v>
      </c>
      <c r="CT159">
        <f t="shared" si="19"/>
        <v>295</v>
      </c>
      <c r="CU159" t="str">
        <f t="shared" si="29"/>
        <v/>
      </c>
      <c r="CV159" s="81">
        <f t="shared" si="192"/>
        <v>295</v>
      </c>
      <c r="CW159" s="81">
        <f>(CV159/25)^1.5*(Calculator!$BU$4/10000)*CW$5</f>
        <v>104.66393961177546</v>
      </c>
      <c r="CX159" t="str">
        <f t="shared" si="193"/>
        <v>$295</v>
      </c>
    </row>
    <row r="160" spans="2:102" x14ac:dyDescent="0.25">
      <c r="B160" s="115" t="s">
        <v>233</v>
      </c>
      <c r="C160" s="13">
        <v>46237.767361111109</v>
      </c>
      <c r="D160">
        <v>24540</v>
      </c>
      <c r="E160" s="54" t="s">
        <v>235</v>
      </c>
      <c r="F160" s="54" t="s">
        <v>539</v>
      </c>
      <c r="G160" s="54" t="s">
        <v>549</v>
      </c>
      <c r="H160" s="55">
        <v>16.3</v>
      </c>
      <c r="I160" s="55">
        <v>15.299999999999999</v>
      </c>
      <c r="J160" s="55">
        <v>14.799999999999999</v>
      </c>
      <c r="K160" s="54"/>
      <c r="L160" s="56" t="b">
        <v>0</v>
      </c>
      <c r="M160" s="56" t="b">
        <v>0</v>
      </c>
      <c r="N160" s="54">
        <v>1</v>
      </c>
      <c r="O160" s="54" t="s">
        <v>228</v>
      </c>
      <c r="P160" s="54">
        <v>100</v>
      </c>
      <c r="Q160" s="54">
        <v>24</v>
      </c>
      <c r="R160" s="54">
        <v>295</v>
      </c>
      <c r="S160" s="54" t="s">
        <v>541</v>
      </c>
      <c r="T160" s="54" t="s">
        <v>542</v>
      </c>
      <c r="U160" s="54" t="s">
        <v>543</v>
      </c>
      <c r="V160" s="54" t="s">
        <v>544</v>
      </c>
      <c r="W160" s="54" t="b">
        <v>0</v>
      </c>
      <c r="X160" s="54"/>
      <c r="Y160" s="57" t="s">
        <v>2288</v>
      </c>
      <c r="Z160" s="54" t="s">
        <v>546</v>
      </c>
      <c r="AA160" s="54"/>
      <c r="AB160" s="54" t="s">
        <v>545</v>
      </c>
      <c r="AC160" s="56" t="b">
        <v>1</v>
      </c>
      <c r="AD160" s="56" t="b">
        <v>0</v>
      </c>
      <c r="AE160" s="54" t="s">
        <v>303</v>
      </c>
      <c r="AF160" s="58">
        <v>46174</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9.1555999999999998E-2</v>
      </c>
      <c r="BC160" s="60">
        <v>4.9000000000000004</v>
      </c>
      <c r="BD160" s="61">
        <v>5.1461E-2</v>
      </c>
      <c r="BE160" s="62" t="s">
        <v>293</v>
      </c>
      <c r="BF160" s="35">
        <f t="shared" si="0"/>
        <v>4.9000000000000004</v>
      </c>
      <c r="BG160" s="35">
        <f t="shared" si="0"/>
        <v>5.1461E-2</v>
      </c>
      <c r="BH160" s="35" t="str">
        <f t="shared" si="185"/>
        <v>Med</v>
      </c>
      <c r="BI160" s="110">
        <f t="shared" si="186"/>
        <v>0</v>
      </c>
      <c r="BJ160" s="83">
        <f>VLOOKUP($F160,REP_Info!$D$6:$H$250,5,FALSE)</f>
        <v>0.67800000000000005</v>
      </c>
      <c r="BK160" s="30">
        <f t="shared" si="1"/>
        <v>16.281700000000001</v>
      </c>
      <c r="BL160" s="30">
        <f t="shared" si="1"/>
        <v>15.291700000000001</v>
      </c>
      <c r="BM160" s="30">
        <f t="shared" si="1"/>
        <v>14.7967</v>
      </c>
      <c r="BN160" s="29">
        <f t="shared" si="1"/>
        <v>14.631700000000002</v>
      </c>
      <c r="BO160" s="85" t="str">
        <f t="shared" si="2"/>
        <v>$$$</v>
      </c>
      <c r="BP160" s="88" t="str">
        <f t="shared" si="187"/>
        <v>$$$</v>
      </c>
      <c r="BQ160" s="88" t="str">
        <f t="shared" si="4"/>
        <v>$$$</v>
      </c>
      <c r="BR160" s="88" t="str">
        <f t="shared" si="5"/>
        <v>$$$</v>
      </c>
      <c r="BS160" s="29" t="e">
        <f t="shared" si="6"/>
        <v>#N/A</v>
      </c>
      <c r="BT160" s="29" t="e">
        <f t="shared" si="6"/>
        <v>#N/A</v>
      </c>
      <c r="BU160" s="29" t="e">
        <f t="shared" si="6"/>
        <v>#N/A</v>
      </c>
      <c r="BV160" s="29" t="e">
        <f t="shared" si="6"/>
        <v>#N/A</v>
      </c>
      <c r="BW160" s="29" t="e">
        <f t="shared" si="6"/>
        <v>#N/A</v>
      </c>
      <c r="BX160" s="29" t="e">
        <f t="shared" si="6"/>
        <v>#N/A</v>
      </c>
      <c r="BY160" s="29" t="e">
        <f t="shared" si="6"/>
        <v>#N/A</v>
      </c>
      <c r="BZ160" s="29" t="e">
        <f t="shared" si="6"/>
        <v>#N/A</v>
      </c>
      <c r="CA160" s="29" t="e">
        <f t="shared" si="6"/>
        <v>#N/A</v>
      </c>
      <c r="CB160" s="29" t="e">
        <f t="shared" si="6"/>
        <v>#N/A</v>
      </c>
      <c r="CC160" s="29" t="e">
        <f t="shared" si="6"/>
        <v>#N/A</v>
      </c>
      <c r="CD160" s="29" t="e">
        <f t="shared" si="6"/>
        <v>#N/A</v>
      </c>
      <c r="CE160" s="6" t="str">
        <f t="shared" si="167"/>
        <v/>
      </c>
      <c r="CF160" s="27" t="e">
        <f>IF(AND(CI160,NOT(AD160)),LOOKUP(CF$5,{0,750,1500},H160:J160),"")</f>
        <v>#N/A</v>
      </c>
      <c r="CG160" s="6" t="str">
        <f t="shared" si="168"/>
        <v/>
      </c>
      <c r="CH160" t="e">
        <f t="shared" si="188"/>
        <v>#N/A</v>
      </c>
      <c r="CI160" t="e">
        <f t="shared" si="189"/>
        <v>#N/A</v>
      </c>
      <c r="CJ160" s="6" t="e">
        <f t="shared" si="11"/>
        <v>#N/A</v>
      </c>
      <c r="CK160" s="6">
        <f t="shared" si="12"/>
        <v>1</v>
      </c>
      <c r="CL160" s="6">
        <f t="shared" si="26"/>
        <v>1</v>
      </c>
      <c r="CM160" s="6">
        <f t="shared" si="13"/>
        <v>1</v>
      </c>
      <c r="CN160" s="6">
        <f t="shared" si="14"/>
        <v>1</v>
      </c>
      <c r="CO160" s="6">
        <f t="shared" si="15"/>
        <v>0</v>
      </c>
      <c r="CP160" s="6">
        <f t="shared" si="16"/>
        <v>1</v>
      </c>
      <c r="CQ160" s="6">
        <f t="shared" si="190"/>
        <v>1</v>
      </c>
      <c r="CR160" s="81" t="str">
        <f t="shared" si="17"/>
        <v/>
      </c>
      <c r="CS160">
        <f t="shared" si="191"/>
        <v>0</v>
      </c>
      <c r="CT160">
        <f t="shared" si="19"/>
        <v>295</v>
      </c>
      <c r="CU160" t="str">
        <f t="shared" si="29"/>
        <v/>
      </c>
      <c r="CV160" s="81">
        <f t="shared" si="192"/>
        <v>295</v>
      </c>
      <c r="CW160" s="81">
        <f>(CV160/25)^1.5*(Calculator!$BU$4/10000)*CW$5</f>
        <v>104.66393961177546</v>
      </c>
      <c r="CX160" t="str">
        <f t="shared" si="193"/>
        <v>$295</v>
      </c>
    </row>
    <row r="161" spans="2:102" x14ac:dyDescent="0.25">
      <c r="B161" s="115" t="s">
        <v>233</v>
      </c>
      <c r="C161" s="13">
        <v>46174.569444444445</v>
      </c>
      <c r="D161">
        <v>27044</v>
      </c>
      <c r="E161" s="54" t="s">
        <v>235</v>
      </c>
      <c r="F161" s="54" t="s">
        <v>539</v>
      </c>
      <c r="G161" s="54" t="s">
        <v>550</v>
      </c>
      <c r="H161" s="55">
        <v>16.600000000000001</v>
      </c>
      <c r="I161" s="55">
        <v>15.6</v>
      </c>
      <c r="J161" s="55">
        <v>15.1</v>
      </c>
      <c r="K161" s="54"/>
      <c r="L161" s="56" t="b">
        <v>0</v>
      </c>
      <c r="M161" s="56" t="b">
        <v>0</v>
      </c>
      <c r="N161" s="54">
        <v>1</v>
      </c>
      <c r="O161" s="54" t="s">
        <v>228</v>
      </c>
      <c r="P161" s="54">
        <v>100</v>
      </c>
      <c r="Q161" s="54">
        <v>36</v>
      </c>
      <c r="R161" s="54">
        <v>395</v>
      </c>
      <c r="S161" s="54" t="s">
        <v>541</v>
      </c>
      <c r="T161" s="54" t="s">
        <v>548</v>
      </c>
      <c r="U161" s="54" t="s">
        <v>543</v>
      </c>
      <c r="V161" s="54" t="s">
        <v>544</v>
      </c>
      <c r="W161" s="54" t="b">
        <v>0</v>
      </c>
      <c r="X161" s="54"/>
      <c r="Y161" s="57" t="s">
        <v>1668</v>
      </c>
      <c r="Z161" s="54" t="s">
        <v>546</v>
      </c>
      <c r="AA161" s="54"/>
      <c r="AB161" s="54" t="s">
        <v>545</v>
      </c>
      <c r="AC161" s="56" t="b">
        <v>0</v>
      </c>
      <c r="AD161" s="56" t="b">
        <v>0</v>
      </c>
      <c r="AE161" s="54" t="s">
        <v>303</v>
      </c>
      <c r="AF161" s="58">
        <v>46174</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9.4556000000000001E-2</v>
      </c>
      <c r="BC161" s="60">
        <v>4.9000000000000004</v>
      </c>
      <c r="BD161" s="61">
        <v>5.1461E-2</v>
      </c>
      <c r="BE161" s="62" t="s">
        <v>293</v>
      </c>
      <c r="BF161" s="35">
        <f t="shared" si="0"/>
        <v>4.9000000000000004</v>
      </c>
      <c r="BG161" s="35">
        <f t="shared" si="0"/>
        <v>5.1461E-2</v>
      </c>
      <c r="BH161" s="35" t="str">
        <f t="shared" si="185"/>
        <v>Med</v>
      </c>
      <c r="BI161" s="110">
        <f t="shared" si="186"/>
        <v>0</v>
      </c>
      <c r="BJ161" s="83">
        <f>VLOOKUP($F161,REP_Info!$D$6:$H$250,5,FALSE)</f>
        <v>0.67800000000000005</v>
      </c>
      <c r="BK161" s="30">
        <f t="shared" si="1"/>
        <v>16.581700000000001</v>
      </c>
      <c r="BL161" s="30">
        <f t="shared" si="1"/>
        <v>15.591700000000001</v>
      </c>
      <c r="BM161" s="30">
        <f t="shared" si="1"/>
        <v>15.096699999999998</v>
      </c>
      <c r="BN161" s="29">
        <f t="shared" si="1"/>
        <v>14.931700000000001</v>
      </c>
      <c r="BO161" s="85" t="str">
        <f t="shared" si="2"/>
        <v>$$$</v>
      </c>
      <c r="BP161" s="88" t="str">
        <f t="shared" si="187"/>
        <v>$$$</v>
      </c>
      <c r="BQ161" s="88" t="str">
        <f t="shared" si="4"/>
        <v>$$$</v>
      </c>
      <c r="BR161" s="88" t="str">
        <f t="shared" si="5"/>
        <v>$$$</v>
      </c>
      <c r="BS161" s="29" t="e">
        <f t="shared" si="6"/>
        <v>#N/A</v>
      </c>
      <c r="BT161" s="29" t="e">
        <f t="shared" si="6"/>
        <v>#N/A</v>
      </c>
      <c r="BU161" s="29" t="e">
        <f t="shared" si="6"/>
        <v>#N/A</v>
      </c>
      <c r="BV161" s="29" t="e">
        <f t="shared" si="6"/>
        <v>#N/A</v>
      </c>
      <c r="BW161" s="29" t="e">
        <f t="shared" si="6"/>
        <v>#N/A</v>
      </c>
      <c r="BX161" s="29" t="e">
        <f t="shared" si="6"/>
        <v>#N/A</v>
      </c>
      <c r="BY161" s="29" t="e">
        <f t="shared" si="6"/>
        <v>#N/A</v>
      </c>
      <c r="BZ161" s="29" t="e">
        <f t="shared" si="6"/>
        <v>#N/A</v>
      </c>
      <c r="CA161" s="29" t="e">
        <f t="shared" si="6"/>
        <v>#N/A</v>
      </c>
      <c r="CB161" s="29" t="e">
        <f t="shared" si="6"/>
        <v>#N/A</v>
      </c>
      <c r="CC161" s="29" t="e">
        <f t="shared" si="6"/>
        <v>#N/A</v>
      </c>
      <c r="CD161" s="29" t="e">
        <f t="shared" si="6"/>
        <v>#N/A</v>
      </c>
      <c r="CE161" s="6" t="str">
        <f t="shared" si="167"/>
        <v/>
      </c>
      <c r="CF161" s="27" t="e">
        <f>IF(AND(CI161,NOT(AD161)),LOOKUP(CF$5,{0,750,1500},H161:J161),"")</f>
        <v>#N/A</v>
      </c>
      <c r="CG161" s="6" t="str">
        <f t="shared" si="168"/>
        <v/>
      </c>
      <c r="CH161" t="e">
        <f t="shared" si="188"/>
        <v>#N/A</v>
      </c>
      <c r="CI161" t="e">
        <f t="shared" si="189"/>
        <v>#N/A</v>
      </c>
      <c r="CJ161" s="6" t="e">
        <f t="shared" si="11"/>
        <v>#N/A</v>
      </c>
      <c r="CK161" s="6">
        <f t="shared" si="12"/>
        <v>1</v>
      </c>
      <c r="CL161" s="6">
        <f t="shared" si="26"/>
        <v>1</v>
      </c>
      <c r="CM161" s="6">
        <f t="shared" si="13"/>
        <v>1</v>
      </c>
      <c r="CN161" s="6">
        <f t="shared" si="14"/>
        <v>1</v>
      </c>
      <c r="CO161" s="6">
        <f t="shared" si="15"/>
        <v>0</v>
      </c>
      <c r="CP161" s="6">
        <f t="shared" si="16"/>
        <v>1</v>
      </c>
      <c r="CQ161" s="6">
        <f t="shared" si="190"/>
        <v>1</v>
      </c>
      <c r="CR161" s="81" t="str">
        <f t="shared" si="17"/>
        <v/>
      </c>
      <c r="CS161">
        <f t="shared" si="191"/>
        <v>0</v>
      </c>
      <c r="CT161">
        <f t="shared" si="19"/>
        <v>395</v>
      </c>
      <c r="CU161" t="str">
        <f t="shared" si="29"/>
        <v/>
      </c>
      <c r="CV161" s="81">
        <f t="shared" si="192"/>
        <v>395</v>
      </c>
      <c r="CW161" s="81">
        <f>(CV161/25)^1.5*(Calculator!$BU$4/10000)*CW$5</f>
        <v>162.16595996535787</v>
      </c>
      <c r="CX161" t="str">
        <f t="shared" si="193"/>
        <v>$395</v>
      </c>
    </row>
    <row r="162" spans="2:102" x14ac:dyDescent="0.25">
      <c r="B162" s="115" t="s">
        <v>233</v>
      </c>
      <c r="C162" s="13">
        <v>46237.767361111109</v>
      </c>
      <c r="D162">
        <v>27046</v>
      </c>
      <c r="E162" s="54" t="s">
        <v>237</v>
      </c>
      <c r="F162" s="54" t="s">
        <v>539</v>
      </c>
      <c r="G162" s="54" t="s">
        <v>550</v>
      </c>
      <c r="H162" s="55">
        <v>17.5</v>
      </c>
      <c r="I162" s="55">
        <v>16.600000000000001</v>
      </c>
      <c r="J162" s="55">
        <v>16.2</v>
      </c>
      <c r="K162" s="54"/>
      <c r="L162" s="56" t="b">
        <v>0</v>
      </c>
      <c r="M162" s="56" t="b">
        <v>0</v>
      </c>
      <c r="N162" s="54">
        <v>1</v>
      </c>
      <c r="O162" s="54" t="s">
        <v>228</v>
      </c>
      <c r="P162" s="54">
        <v>100</v>
      </c>
      <c r="Q162" s="54">
        <v>36</v>
      </c>
      <c r="R162" s="54">
        <v>395</v>
      </c>
      <c r="S162" s="54" t="s">
        <v>541</v>
      </c>
      <c r="T162" s="54" t="s">
        <v>548</v>
      </c>
      <c r="U162" s="54" t="s">
        <v>543</v>
      </c>
      <c r="V162" s="54" t="s">
        <v>544</v>
      </c>
      <c r="W162" s="54" t="b">
        <v>0</v>
      </c>
      <c r="X162" s="54"/>
      <c r="Y162" s="57" t="s">
        <v>2289</v>
      </c>
      <c r="Z162" s="54" t="s">
        <v>2283</v>
      </c>
      <c r="AA162" s="54"/>
      <c r="AB162" s="54" t="s">
        <v>545</v>
      </c>
      <c r="AC162" s="56" t="b">
        <v>0</v>
      </c>
      <c r="AD162" s="56" t="b">
        <v>0</v>
      </c>
      <c r="AE162" s="54" t="s">
        <v>303</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9.6700999999999995E-2</v>
      </c>
      <c r="BC162" s="60">
        <v>4.0599999999999996</v>
      </c>
      <c r="BD162" s="61">
        <v>6.0295000000000001E-2</v>
      </c>
      <c r="BE162" s="62" t="s">
        <v>293</v>
      </c>
      <c r="BF162" s="35">
        <f t="shared" ref="BF162:BG168" si="194">IF($E162=$E$4,BF$4,IF($E162=$E$5,BF$5,""))</f>
        <v>4.0600000000000005</v>
      </c>
      <c r="BG162" s="35">
        <f t="shared" si="194"/>
        <v>6.0295000000000001E-2</v>
      </c>
      <c r="BH162" s="35" t="str">
        <f t="shared" si="185"/>
        <v>Med</v>
      </c>
      <c r="BI162" s="110">
        <f t="shared" si="186"/>
        <v>0</v>
      </c>
      <c r="BJ162" s="83">
        <f>VLOOKUP($F162,REP_Info!$D$6:$H$250,5,FALSE)</f>
        <v>0.67800000000000005</v>
      </c>
      <c r="BK162" s="30">
        <f t="shared" ref="BK162:BN168" si="195">IF(BK$7&gt;0,(LOOKUP(BK$7,$AH162:$AL162,$AM162:$AQ162)+IF($AG162="Y",SUMPRODUCT($AX162:$BB162-$AW162:$BA162,BK$7-$AR162:$AV162,N(BK$7&gt;$AR162:$AV162)),BK$7*LOOKUP(BK$7,$AR162:$AV162,$AX162:$BB162))+IF($BE162="Y",$BF162,$BC162)+BK$7*IF($BE162="Y",$BG162,$BD162))*100/BK$7,"")</f>
        <v>17.511599999999998</v>
      </c>
      <c r="BL162" s="30">
        <f t="shared" si="195"/>
        <v>16.605599999999999</v>
      </c>
      <c r="BM162" s="30">
        <f t="shared" si="195"/>
        <v>16.1526</v>
      </c>
      <c r="BN162" s="29">
        <f t="shared" si="195"/>
        <v>16.0016</v>
      </c>
      <c r="BO162" s="85" t="str">
        <f t="shared" si="2"/>
        <v>$$$</v>
      </c>
      <c r="BP162" s="88" t="str">
        <f t="shared" si="187"/>
        <v>$$$</v>
      </c>
      <c r="BQ162" s="88" t="str">
        <f t="shared" si="4"/>
        <v>$$$</v>
      </c>
      <c r="BR162" s="88" t="str">
        <f t="shared" si="5"/>
        <v>$$$</v>
      </c>
      <c r="BS162" s="29" t="e">
        <f t="shared" ref="BS162:CD168" si="196">IF($CI162,IF(BS$7&gt;0,IF(BS$4&gt;$Q162,$BF162+BS$7*(BS$5+$BG162+$BI162),LOOKUP(BS$7,$AH162:$AL162,$AM162:$AQ162)+IF($AG162="Y",SUMPRODUCT($AX162:$BB162-$AW162:$BA162,BS$7-$AR162:$AV162,N(BS$7&gt;$AR162:$AV162)),BS$7*LOOKUP(BS$7,$AR162:$AV162,$AX162:$BB162))+IF($BE162="Y",$BF162,$BC162)+BS$7*IF($BE162="Y",$BG162,$BD162))*100/BS$7,""),NA())</f>
        <v>#N/A</v>
      </c>
      <c r="BT162" s="29" t="e">
        <f t="shared" si="196"/>
        <v>#N/A</v>
      </c>
      <c r="BU162" s="29" t="e">
        <f t="shared" si="196"/>
        <v>#N/A</v>
      </c>
      <c r="BV162" s="29" t="e">
        <f t="shared" si="196"/>
        <v>#N/A</v>
      </c>
      <c r="BW162" s="29" t="e">
        <f t="shared" si="196"/>
        <v>#N/A</v>
      </c>
      <c r="BX162" s="29" t="e">
        <f t="shared" si="196"/>
        <v>#N/A</v>
      </c>
      <c r="BY162" s="29" t="e">
        <f t="shared" si="196"/>
        <v>#N/A</v>
      </c>
      <c r="BZ162" s="29" t="e">
        <f t="shared" si="196"/>
        <v>#N/A</v>
      </c>
      <c r="CA162" s="29" t="e">
        <f t="shared" si="196"/>
        <v>#N/A</v>
      </c>
      <c r="CB162" s="29" t="e">
        <f t="shared" si="196"/>
        <v>#N/A</v>
      </c>
      <c r="CC162" s="29" t="e">
        <f t="shared" si="196"/>
        <v>#N/A</v>
      </c>
      <c r="CD162" s="29" t="e">
        <f t="shared" si="196"/>
        <v>#N/A</v>
      </c>
      <c r="CE162" s="6" t="str">
        <f t="shared" ref="CE162:CE225" si="197">IF(ISNUMBER(CF162),RANK($CF162,$CF$8:$CF$346,1),"")</f>
        <v/>
      </c>
      <c r="CF162" s="27" t="e">
        <f>IF(AND(CI162,NOT(AD162)),LOOKUP(CF$5,{0,750,1500},H162:J162),"")</f>
        <v>#N/A</v>
      </c>
      <c r="CG162" s="6" t="str">
        <f t="shared" ref="CG162:CG225" si="198">IF(ISNUMBER(CH162),RANK($CH162,$CH$8:$CH$346,1),"")</f>
        <v/>
      </c>
      <c r="CH162" t="e">
        <f t="shared" si="188"/>
        <v>#N/A</v>
      </c>
      <c r="CI162" t="e">
        <f t="shared" si="189"/>
        <v>#N/A</v>
      </c>
      <c r="CJ162" s="6" t="e">
        <f t="shared" si="11"/>
        <v>#N/A</v>
      </c>
      <c r="CK162" s="6">
        <f t="shared" si="12"/>
        <v>1</v>
      </c>
      <c r="CL162" s="6">
        <f t="shared" si="26"/>
        <v>1</v>
      </c>
      <c r="CM162" s="6">
        <f t="shared" si="13"/>
        <v>1</v>
      </c>
      <c r="CN162" s="6">
        <f t="shared" si="14"/>
        <v>1</v>
      </c>
      <c r="CO162" s="6">
        <f t="shared" si="15"/>
        <v>0</v>
      </c>
      <c r="CP162" s="6">
        <f t="shared" si="16"/>
        <v>1</v>
      </c>
      <c r="CQ162" s="6">
        <f t="shared" si="190"/>
        <v>1</v>
      </c>
      <c r="CR162" s="81" t="str">
        <f t="shared" si="17"/>
        <v/>
      </c>
      <c r="CS162">
        <f t="shared" si="191"/>
        <v>0</v>
      </c>
      <c r="CT162">
        <f t="shared" si="19"/>
        <v>395</v>
      </c>
      <c r="CU162" t="str">
        <f t="shared" si="29"/>
        <v/>
      </c>
      <c r="CV162" s="81">
        <f t="shared" si="192"/>
        <v>395</v>
      </c>
      <c r="CW162" s="81">
        <f>(CV162/25)^1.5*(Calculator!$BU$4/10000)*CW$5</f>
        <v>162.16595996535787</v>
      </c>
      <c r="CX162" t="str">
        <f t="shared" si="193"/>
        <v>$395</v>
      </c>
    </row>
    <row r="163" spans="2:102" x14ac:dyDescent="0.25">
      <c r="B163" s="115" t="s">
        <v>233</v>
      </c>
      <c r="C163" s="13">
        <v>46175.509027777778</v>
      </c>
      <c r="D163">
        <v>28131</v>
      </c>
      <c r="E163" s="54" t="s">
        <v>235</v>
      </c>
      <c r="F163" s="54" t="s">
        <v>539</v>
      </c>
      <c r="G163" s="54" t="s">
        <v>1612</v>
      </c>
      <c r="H163" s="55">
        <v>16</v>
      </c>
      <c r="I163" s="55">
        <v>15</v>
      </c>
      <c r="J163" s="55">
        <v>14.499999999999998</v>
      </c>
      <c r="K163" s="54"/>
      <c r="L163" s="56" t="b">
        <v>0</v>
      </c>
      <c r="M163" s="56" t="b">
        <v>0</v>
      </c>
      <c r="N163" s="54">
        <v>1</v>
      </c>
      <c r="O163" s="54" t="s">
        <v>228</v>
      </c>
      <c r="P163" s="54">
        <v>100</v>
      </c>
      <c r="Q163" s="54">
        <v>18</v>
      </c>
      <c r="R163" s="54">
        <v>180</v>
      </c>
      <c r="S163" s="54" t="s">
        <v>541</v>
      </c>
      <c r="T163" s="54" t="s">
        <v>542</v>
      </c>
      <c r="U163" s="54" t="s">
        <v>543</v>
      </c>
      <c r="V163" s="54" t="s">
        <v>544</v>
      </c>
      <c r="W163" s="54" t="b">
        <v>0</v>
      </c>
      <c r="X163" s="54"/>
      <c r="Y163" s="57" t="s">
        <v>1669</v>
      </c>
      <c r="Z163" s="54" t="s">
        <v>1613</v>
      </c>
      <c r="AA163" s="54"/>
      <c r="AB163" s="54" t="s">
        <v>545</v>
      </c>
      <c r="AC163" s="56" t="b">
        <v>1</v>
      </c>
      <c r="AD163" s="56" t="b">
        <v>0</v>
      </c>
      <c r="AE163" s="54" t="s">
        <v>303</v>
      </c>
      <c r="AF163" s="58">
        <v>46174</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4.0599999999999996</v>
      </c>
      <c r="BD163" s="61">
        <v>6.1196E-2</v>
      </c>
      <c r="BE163" s="62" t="e">
        <v>#N/A</v>
      </c>
      <c r="BF163" s="35">
        <f t="shared" si="194"/>
        <v>4.9000000000000004</v>
      </c>
      <c r="BG163" s="35">
        <f t="shared" si="194"/>
        <v>5.1461E-2</v>
      </c>
      <c r="BH163" s="35" t="str">
        <f t="shared" si="185"/>
        <v>?</v>
      </c>
      <c r="BI163" s="110">
        <f t="shared" si="186"/>
        <v>0</v>
      </c>
      <c r="BJ163" s="83">
        <f>VLOOKUP($F163,REP_Info!$D$6:$H$250,5,FALSE)</f>
        <v>0.67800000000000005</v>
      </c>
      <c r="BK163" s="30" t="e">
        <f t="shared" si="195"/>
        <v>#N/A</v>
      </c>
      <c r="BL163" s="30" t="e">
        <f t="shared" si="195"/>
        <v>#N/A</v>
      </c>
      <c r="BM163" s="30" t="e">
        <f t="shared" si="195"/>
        <v>#N/A</v>
      </c>
      <c r="BN163" s="29" t="e">
        <f t="shared" si="195"/>
        <v>#N/A</v>
      </c>
      <c r="BO163" s="85" t="str">
        <f t="shared" si="2"/>
        <v>$$$</v>
      </c>
      <c r="BP163" s="88" t="str">
        <f t="shared" si="187"/>
        <v>$$$</v>
      </c>
      <c r="BQ163" s="88" t="str">
        <f t="shared" si="4"/>
        <v>$$$</v>
      </c>
      <c r="BR163" s="88" t="str">
        <f t="shared" si="5"/>
        <v>$$$</v>
      </c>
      <c r="BS163" s="29" t="e">
        <f t="shared" si="196"/>
        <v>#N/A</v>
      </c>
      <c r="BT163" s="29" t="e">
        <f t="shared" si="196"/>
        <v>#N/A</v>
      </c>
      <c r="BU163" s="29" t="e">
        <f t="shared" si="196"/>
        <v>#N/A</v>
      </c>
      <c r="BV163" s="29" t="e">
        <f t="shared" si="196"/>
        <v>#N/A</v>
      </c>
      <c r="BW163" s="29" t="e">
        <f t="shared" si="196"/>
        <v>#N/A</v>
      </c>
      <c r="BX163" s="29" t="e">
        <f t="shared" si="196"/>
        <v>#N/A</v>
      </c>
      <c r="BY163" s="29" t="e">
        <f t="shared" si="196"/>
        <v>#N/A</v>
      </c>
      <c r="BZ163" s="29" t="e">
        <f t="shared" si="196"/>
        <v>#N/A</v>
      </c>
      <c r="CA163" s="29" t="e">
        <f t="shared" si="196"/>
        <v>#N/A</v>
      </c>
      <c r="CB163" s="29" t="e">
        <f t="shared" si="196"/>
        <v>#N/A</v>
      </c>
      <c r="CC163" s="29" t="e">
        <f t="shared" si="196"/>
        <v>#N/A</v>
      </c>
      <c r="CD163" s="29" t="e">
        <f t="shared" si="196"/>
        <v>#N/A</v>
      </c>
      <c r="CE163" s="6" t="str">
        <f t="shared" si="197"/>
        <v/>
      </c>
      <c r="CF163" s="27" t="e">
        <f>IF(AND(CI163,NOT(AD163)),LOOKUP(CF$5,{0,750,1500},H163:J163),"")</f>
        <v>#N/A</v>
      </c>
      <c r="CG163" s="6" t="str">
        <f t="shared" si="198"/>
        <v/>
      </c>
      <c r="CH163" t="e">
        <f t="shared" si="188"/>
        <v>#N/A</v>
      </c>
      <c r="CI163" t="e">
        <f t="shared" si="189"/>
        <v>#N/A</v>
      </c>
      <c r="CJ163" s="6" t="e">
        <f t="shared" si="11"/>
        <v>#N/A</v>
      </c>
      <c r="CK163" s="6">
        <f t="shared" si="12"/>
        <v>1</v>
      </c>
      <c r="CL163" s="6">
        <f t="shared" ref="CL163:CL168" si="199">IFERROR(--OR(ISBLANK(CL$5),$BJ163="",AND(ISNUMBER($BJ163),$BJ163&lt;=CL$5)),1)</f>
        <v>1</v>
      </c>
      <c r="CM163" s="6">
        <f t="shared" si="13"/>
        <v>1</v>
      </c>
      <c r="CN163" s="6">
        <f t="shared" si="14"/>
        <v>1</v>
      </c>
      <c r="CO163" s="6">
        <f t="shared" si="15"/>
        <v>0</v>
      </c>
      <c r="CP163" s="6">
        <f t="shared" si="16"/>
        <v>1</v>
      </c>
      <c r="CQ163" s="6">
        <f t="shared" si="190"/>
        <v>1</v>
      </c>
      <c r="CR163" s="81" t="str">
        <f t="shared" si="17"/>
        <v/>
      </c>
      <c r="CS163">
        <f t="shared" si="191"/>
        <v>0</v>
      </c>
      <c r="CT163">
        <f t="shared" si="19"/>
        <v>180</v>
      </c>
      <c r="CU163" t="str">
        <f t="shared" ref="CU163:CU168" si="200">IF(AND(ISERR(FIND("remain",$R163)),ISERR(FIND("left",$R163))),"","r")&amp;IF(ISERR(FIND("mon",$R163)),"","m")</f>
        <v/>
      </c>
      <c r="CV163" s="81">
        <f t="shared" si="192"/>
        <v>180</v>
      </c>
      <c r="CW163" s="81">
        <f>(CV163/25)^1.5*(Calculator!$BU$4/10000)*CW$5</f>
        <v>49.885325635190988</v>
      </c>
      <c r="CX163" t="str">
        <f t="shared" si="193"/>
        <v>$180</v>
      </c>
    </row>
    <row r="164" spans="2:102" x14ac:dyDescent="0.25">
      <c r="B164" s="115" t="s">
        <v>233</v>
      </c>
      <c r="C164" s="13">
        <v>46237.767361111109</v>
      </c>
      <c r="D164">
        <v>28133</v>
      </c>
      <c r="E164" s="54" t="s">
        <v>237</v>
      </c>
      <c r="F164" s="54" t="s">
        <v>539</v>
      </c>
      <c r="G164" s="54" t="s">
        <v>1612</v>
      </c>
      <c r="H164" s="55">
        <v>16.7</v>
      </c>
      <c r="I164" s="55">
        <v>15.8</v>
      </c>
      <c r="J164" s="55">
        <v>15.4</v>
      </c>
      <c r="K164" s="54"/>
      <c r="L164" s="56" t="b">
        <v>0</v>
      </c>
      <c r="M164" s="56" t="b">
        <v>0</v>
      </c>
      <c r="N164" s="54">
        <v>1</v>
      </c>
      <c r="O164" s="54" t="s">
        <v>228</v>
      </c>
      <c r="P164" s="54">
        <v>100</v>
      </c>
      <c r="Q164" s="54">
        <v>18</v>
      </c>
      <c r="R164" s="54">
        <v>180</v>
      </c>
      <c r="S164" s="54" t="s">
        <v>541</v>
      </c>
      <c r="T164" s="54" t="s">
        <v>542</v>
      </c>
      <c r="U164" s="54" t="s">
        <v>543</v>
      </c>
      <c r="V164" s="54" t="s">
        <v>544</v>
      </c>
      <c r="W164" s="54" t="b">
        <v>0</v>
      </c>
      <c r="X164" s="54"/>
      <c r="Y164" s="57" t="s">
        <v>2290</v>
      </c>
      <c r="Z164" s="54" t="s">
        <v>1613</v>
      </c>
      <c r="AA164" s="54"/>
      <c r="AB164" s="54" t="s">
        <v>545</v>
      </c>
      <c r="AC164" s="56" t="b">
        <v>1</v>
      </c>
      <c r="AD164" s="56" t="b">
        <v>0</v>
      </c>
      <c r="AE164" s="54" t="s">
        <v>303</v>
      </c>
      <c r="AF164" s="58">
        <v>46235</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8.8701000000000002E-2</v>
      </c>
      <c r="BC164" s="60">
        <v>4.0599999999999996</v>
      </c>
      <c r="BD164" s="61">
        <v>6.0295000000000001E-2</v>
      </c>
      <c r="BE164" s="62" t="s">
        <v>293</v>
      </c>
      <c r="BF164" s="35">
        <f t="shared" si="194"/>
        <v>4.0600000000000005</v>
      </c>
      <c r="BG164" s="35">
        <f t="shared" si="194"/>
        <v>6.0295000000000001E-2</v>
      </c>
      <c r="BH164" s="35" t="str">
        <f t="shared" si="185"/>
        <v>Med</v>
      </c>
      <c r="BI164" s="110">
        <f t="shared" si="186"/>
        <v>0</v>
      </c>
      <c r="BJ164" s="83">
        <f>VLOOKUP($F164,REP_Info!$D$6:$H$250,5,FALSE)</f>
        <v>0.67800000000000005</v>
      </c>
      <c r="BK164" s="30">
        <f t="shared" si="195"/>
        <v>16.711600000000001</v>
      </c>
      <c r="BL164" s="30">
        <f t="shared" si="195"/>
        <v>15.8056</v>
      </c>
      <c r="BM164" s="30">
        <f t="shared" si="195"/>
        <v>15.352600000000001</v>
      </c>
      <c r="BN164" s="29">
        <f t="shared" si="195"/>
        <v>15.201600000000001</v>
      </c>
      <c r="BO164" s="85" t="str">
        <f t="shared" ref="BO164:BO168" si="201">IFERROR(SUMPRODUCT($BS$7:$CD$7,$BS164:$CD164)/100,"$$$")</f>
        <v>$$$</v>
      </c>
      <c r="BP164" s="88" t="str">
        <f t="shared" si="187"/>
        <v>$$$</v>
      </c>
      <c r="BQ164" s="88" t="str">
        <f t="shared" si="4"/>
        <v>$$$</v>
      </c>
      <c r="BR164" s="88" t="str">
        <f t="shared" si="5"/>
        <v>$$$</v>
      </c>
      <c r="BS164" s="29" t="e">
        <f t="shared" si="196"/>
        <v>#N/A</v>
      </c>
      <c r="BT164" s="29" t="e">
        <f t="shared" si="196"/>
        <v>#N/A</v>
      </c>
      <c r="BU164" s="29" t="e">
        <f t="shared" si="196"/>
        <v>#N/A</v>
      </c>
      <c r="BV164" s="29" t="e">
        <f t="shared" si="196"/>
        <v>#N/A</v>
      </c>
      <c r="BW164" s="29" t="e">
        <f t="shared" si="196"/>
        <v>#N/A</v>
      </c>
      <c r="BX164" s="29" t="e">
        <f t="shared" si="196"/>
        <v>#N/A</v>
      </c>
      <c r="BY164" s="29" t="e">
        <f t="shared" si="196"/>
        <v>#N/A</v>
      </c>
      <c r="BZ164" s="29" t="e">
        <f t="shared" si="196"/>
        <v>#N/A</v>
      </c>
      <c r="CA164" s="29" t="e">
        <f t="shared" si="196"/>
        <v>#N/A</v>
      </c>
      <c r="CB164" s="29" t="e">
        <f t="shared" si="196"/>
        <v>#N/A</v>
      </c>
      <c r="CC164" s="29" t="e">
        <f t="shared" si="196"/>
        <v>#N/A</v>
      </c>
      <c r="CD164" s="29" t="e">
        <f t="shared" si="196"/>
        <v>#N/A</v>
      </c>
      <c r="CE164" s="6" t="str">
        <f t="shared" si="197"/>
        <v/>
      </c>
      <c r="CF164" s="27" t="e">
        <f>IF(AND(CI164,NOT(AD164)),LOOKUP(CF$5,{0,750,1500},H164:J164),"")</f>
        <v>#N/A</v>
      </c>
      <c r="CG164" s="6" t="str">
        <f t="shared" si="198"/>
        <v/>
      </c>
      <c r="CH164" t="e">
        <f t="shared" si="188"/>
        <v>#N/A</v>
      </c>
      <c r="CI164" t="e">
        <f t="shared" si="189"/>
        <v>#N/A</v>
      </c>
      <c r="CJ164" s="6" t="e">
        <f t="shared" ref="CJ164:CJ168" si="202">IF($E164=CJ$5,1,0)</f>
        <v>#N/A</v>
      </c>
      <c r="CK164" s="6">
        <f t="shared" ref="CK164:CK168" si="203">IF(CK$5="[Any]",1,IF($F164=CK$5,1,0))</f>
        <v>1</v>
      </c>
      <c r="CL164" s="6">
        <f t="shared" si="199"/>
        <v>1</v>
      </c>
      <c r="CM164" s="6">
        <f t="shared" ref="CM164:CM168" si="204">IF($O164="Fixed",1,0)</f>
        <v>1</v>
      </c>
      <c r="CN164" s="6">
        <f t="shared" ref="CN164:CN168" si="205">IF($Q164&gt;=CN$5,1,0)</f>
        <v>1</v>
      </c>
      <c r="CO164" s="6">
        <f t="shared" ref="CO164:CO168" si="206">IF($Q164&lt;=CO$5,1,0)</f>
        <v>0</v>
      </c>
      <c r="CP164" s="6">
        <f t="shared" ref="CP164:CP168" si="207">IF($P164&gt;=CP$5,1,0)</f>
        <v>1</v>
      </c>
      <c r="CQ164" s="6">
        <f t="shared" si="190"/>
        <v>1</v>
      </c>
      <c r="CR164" s="81" t="str">
        <f t="shared" ref="CR164:CR168" si="208">IF(ISNUMBER($CH164),$CH164+$CS164+$CW164,"")</f>
        <v/>
      </c>
      <c r="CS164">
        <f t="shared" si="191"/>
        <v>0</v>
      </c>
      <c r="CT164">
        <f t="shared" si="19"/>
        <v>180</v>
      </c>
      <c r="CU164" t="str">
        <f t="shared" si="200"/>
        <v/>
      </c>
      <c r="CV164" s="81">
        <f t="shared" si="192"/>
        <v>180</v>
      </c>
      <c r="CW164" s="81">
        <f>(CV164/25)^1.5*(Calculator!$BU$4/10000)*CW$5</f>
        <v>49.885325635190988</v>
      </c>
      <c r="CX164" t="str">
        <f t="shared" si="193"/>
        <v>$180</v>
      </c>
    </row>
    <row r="165" spans="2:102" x14ac:dyDescent="0.25">
      <c r="B165" s="115" t="s">
        <v>233</v>
      </c>
      <c r="C165" s="13">
        <v>46232.244444444441</v>
      </c>
      <c r="D165">
        <v>33783</v>
      </c>
      <c r="E165" s="54" t="s">
        <v>235</v>
      </c>
      <c r="F165" s="54" t="s">
        <v>552</v>
      </c>
      <c r="G165" s="54" t="s">
        <v>553</v>
      </c>
      <c r="H165" s="55">
        <v>13</v>
      </c>
      <c r="I165" s="55">
        <v>12.3</v>
      </c>
      <c r="J165" s="55">
        <v>11.899999999999999</v>
      </c>
      <c r="K165" s="54"/>
      <c r="L165" s="56" t="b">
        <v>0</v>
      </c>
      <c r="M165" s="56" t="b">
        <v>0</v>
      </c>
      <c r="N165" s="54">
        <v>0</v>
      </c>
      <c r="O165" s="54" t="s">
        <v>238</v>
      </c>
      <c r="P165" s="54">
        <v>24</v>
      </c>
      <c r="Q165" s="54">
        <v>1</v>
      </c>
      <c r="R165" s="54">
        <v>0</v>
      </c>
      <c r="S165" s="54" t="s">
        <v>554</v>
      </c>
      <c r="T165" s="54" t="s">
        <v>555</v>
      </c>
      <c r="U165" s="54" t="s">
        <v>556</v>
      </c>
      <c r="V165" s="54" t="s">
        <v>557</v>
      </c>
      <c r="W165" s="54" t="b">
        <v>0</v>
      </c>
      <c r="X165" s="54"/>
      <c r="Y165" s="57" t="s">
        <v>2038</v>
      </c>
      <c r="Z165" s="54" t="s">
        <v>2039</v>
      </c>
      <c r="AA165" s="54"/>
      <c r="AB165" s="54" t="s">
        <v>558</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194"/>
        <v>4.9000000000000004</v>
      </c>
      <c r="BG165" s="35">
        <f t="shared" si="194"/>
        <v>5.1461E-2</v>
      </c>
      <c r="BH165" s="35" t="str">
        <f t="shared" si="185"/>
        <v>?</v>
      </c>
      <c r="BI165" s="110" t="str">
        <f t="shared" si="186"/>
        <v/>
      </c>
      <c r="BJ165" s="83">
        <f>VLOOKUP($F165,REP_Info!$D$6:$H$250,5,FALSE)</f>
        <v>0.123</v>
      </c>
      <c r="BK165" s="30" t="e">
        <f t="shared" si="195"/>
        <v>#N/A</v>
      </c>
      <c r="BL165" s="30" t="e">
        <f t="shared" si="195"/>
        <v>#N/A</v>
      </c>
      <c r="BM165" s="30" t="e">
        <f t="shared" si="195"/>
        <v>#N/A</v>
      </c>
      <c r="BN165" s="29" t="e">
        <f t="shared" si="195"/>
        <v>#N/A</v>
      </c>
      <c r="BO165" s="85" t="str">
        <f t="shared" si="201"/>
        <v>$$$</v>
      </c>
      <c r="BP165" s="88" t="str">
        <f t="shared" si="187"/>
        <v>$$$</v>
      </c>
      <c r="BQ165" s="88" t="str">
        <f t="shared" si="4"/>
        <v>$$$</v>
      </c>
      <c r="BR165" s="88" t="str">
        <f t="shared" si="5"/>
        <v>$$$</v>
      </c>
      <c r="BS165" s="29" t="e">
        <f t="shared" si="196"/>
        <v>#N/A</v>
      </c>
      <c r="BT165" s="29" t="e">
        <f t="shared" si="196"/>
        <v>#N/A</v>
      </c>
      <c r="BU165" s="29" t="e">
        <f t="shared" si="196"/>
        <v>#N/A</v>
      </c>
      <c r="BV165" s="29" t="e">
        <f t="shared" si="196"/>
        <v>#N/A</v>
      </c>
      <c r="BW165" s="29" t="e">
        <f t="shared" si="196"/>
        <v>#N/A</v>
      </c>
      <c r="BX165" s="29" t="e">
        <f t="shared" si="196"/>
        <v>#N/A</v>
      </c>
      <c r="BY165" s="29" t="e">
        <f t="shared" si="196"/>
        <v>#N/A</v>
      </c>
      <c r="BZ165" s="29" t="e">
        <f t="shared" si="196"/>
        <v>#N/A</v>
      </c>
      <c r="CA165" s="29" t="e">
        <f t="shared" si="196"/>
        <v>#N/A</v>
      </c>
      <c r="CB165" s="29" t="e">
        <f t="shared" si="196"/>
        <v>#N/A</v>
      </c>
      <c r="CC165" s="29" t="e">
        <f t="shared" si="196"/>
        <v>#N/A</v>
      </c>
      <c r="CD165" s="29" t="e">
        <f t="shared" si="196"/>
        <v>#N/A</v>
      </c>
      <c r="CE165" s="6" t="str">
        <f t="shared" si="197"/>
        <v/>
      </c>
      <c r="CF165" s="27" t="e">
        <f>IF(AND(CI165,NOT(AD165)),LOOKUP(CF$5,{0,750,1500},H165:J165),"")</f>
        <v>#N/A</v>
      </c>
      <c r="CG165" s="6" t="str">
        <f t="shared" si="198"/>
        <v/>
      </c>
      <c r="CH165" t="e">
        <f t="shared" si="188"/>
        <v>#N/A</v>
      </c>
      <c r="CI165" t="e">
        <f t="shared" si="189"/>
        <v>#N/A</v>
      </c>
      <c r="CJ165" s="6" t="e">
        <f t="shared" si="202"/>
        <v>#N/A</v>
      </c>
      <c r="CK165" s="6">
        <f t="shared" si="203"/>
        <v>1</v>
      </c>
      <c r="CL165" s="6">
        <f t="shared" si="199"/>
        <v>1</v>
      </c>
      <c r="CM165" s="6">
        <f t="shared" si="204"/>
        <v>0</v>
      </c>
      <c r="CN165" s="6">
        <f t="shared" si="205"/>
        <v>0</v>
      </c>
      <c r="CO165" s="6">
        <f t="shared" si="206"/>
        <v>1</v>
      </c>
      <c r="CP165" s="6">
        <f t="shared" si="207"/>
        <v>1</v>
      </c>
      <c r="CQ165" s="6">
        <f t="shared" si="190"/>
        <v>1</v>
      </c>
      <c r="CR165" s="81" t="str">
        <f t="shared" si="208"/>
        <v/>
      </c>
      <c r="CS165">
        <f t="shared" si="191"/>
        <v>198</v>
      </c>
      <c r="CT165">
        <f t="shared" si="19"/>
        <v>0</v>
      </c>
      <c r="CU165" t="str">
        <f t="shared" si="200"/>
        <v/>
      </c>
      <c r="CV165" s="81">
        <f t="shared" si="192"/>
        <v>0</v>
      </c>
      <c r="CW165" s="81">
        <f>(CV165/25)^1.5*(Calculator!$BU$4/10000)*CW$5</f>
        <v>0</v>
      </c>
      <c r="CX165" t="str">
        <f t="shared" si="193"/>
        <v>$0</v>
      </c>
    </row>
    <row r="166" spans="2:102" x14ac:dyDescent="0.25">
      <c r="B166" s="115" t="s">
        <v>233</v>
      </c>
      <c r="C166" s="13">
        <v>46232.244444444441</v>
      </c>
      <c r="D166">
        <v>33784</v>
      </c>
      <c r="E166" s="54" t="s">
        <v>237</v>
      </c>
      <c r="F166" s="54" t="s">
        <v>552</v>
      </c>
      <c r="G166" s="54" t="s">
        <v>553</v>
      </c>
      <c r="H166" s="55">
        <v>13.5</v>
      </c>
      <c r="I166" s="55">
        <v>12.9</v>
      </c>
      <c r="J166" s="55">
        <v>12.6</v>
      </c>
      <c r="K166" s="54"/>
      <c r="L166" s="56" t="b">
        <v>0</v>
      </c>
      <c r="M166" s="56" t="b">
        <v>0</v>
      </c>
      <c r="N166" s="54">
        <v>0</v>
      </c>
      <c r="O166" s="54" t="s">
        <v>238</v>
      </c>
      <c r="P166" s="54">
        <v>24</v>
      </c>
      <c r="Q166" s="54">
        <v>1</v>
      </c>
      <c r="R166" s="54">
        <v>0</v>
      </c>
      <c r="S166" s="54" t="s">
        <v>554</v>
      </c>
      <c r="T166" s="54" t="s">
        <v>555</v>
      </c>
      <c r="U166" s="54" t="s">
        <v>556</v>
      </c>
      <c r="V166" s="54" t="s">
        <v>557</v>
      </c>
      <c r="W166" s="54" t="b">
        <v>0</v>
      </c>
      <c r="X166" s="54"/>
      <c r="Y166" s="57" t="s">
        <v>2040</v>
      </c>
      <c r="Z166" s="54" t="s">
        <v>2041</v>
      </c>
      <c r="AA166" s="54"/>
      <c r="AB166" s="54" t="s">
        <v>558</v>
      </c>
      <c r="AC166" s="56" t="b">
        <v>0</v>
      </c>
      <c r="AD166" s="56" t="b">
        <v>0</v>
      </c>
      <c r="AE166" s="54"/>
      <c r="AF166" s="58"/>
      <c r="AG166" s="62" t="s">
        <v>293</v>
      </c>
      <c r="AH166" s="54"/>
      <c r="AI166" s="54"/>
      <c r="AJ166" s="54"/>
      <c r="AK166" s="54"/>
      <c r="AL166" s="54"/>
      <c r="AM166" s="54">
        <v>0</v>
      </c>
      <c r="AN166" s="54"/>
      <c r="AO166" s="54"/>
      <c r="AP166" s="54"/>
      <c r="AQ166" s="54"/>
      <c r="AR166" s="54"/>
      <c r="AS166" s="54"/>
      <c r="AT166" s="54"/>
      <c r="AU166" s="54"/>
      <c r="AV166" s="54"/>
      <c r="AW166" s="54"/>
      <c r="AX166" s="59"/>
      <c r="AY166" s="59"/>
      <c r="AZ166" s="59"/>
      <c r="BA166" s="59"/>
      <c r="BB166" s="59"/>
      <c r="BC166" s="60"/>
      <c r="BD166" s="61"/>
      <c r="BE166" s="62"/>
      <c r="BF166" s="35">
        <f t="shared" si="194"/>
        <v>4.0600000000000005</v>
      </c>
      <c r="BG166" s="35">
        <f t="shared" si="194"/>
        <v>6.0295000000000001E-2</v>
      </c>
      <c r="BH166" s="35" t="str">
        <f t="shared" si="185"/>
        <v>?</v>
      </c>
      <c r="BI166" s="110" t="str">
        <f t="shared" si="186"/>
        <v/>
      </c>
      <c r="BJ166" s="83">
        <f>VLOOKUP($F166,REP_Info!$D$6:$H$250,5,FALSE)</f>
        <v>0.123</v>
      </c>
      <c r="BK166" s="30" t="e">
        <f t="shared" si="195"/>
        <v>#N/A</v>
      </c>
      <c r="BL166" s="30" t="e">
        <f t="shared" si="195"/>
        <v>#N/A</v>
      </c>
      <c r="BM166" s="30" t="e">
        <f t="shared" si="195"/>
        <v>#N/A</v>
      </c>
      <c r="BN166" s="29" t="e">
        <f t="shared" si="195"/>
        <v>#N/A</v>
      </c>
      <c r="BO166" s="85" t="str">
        <f t="shared" si="201"/>
        <v>$$$</v>
      </c>
      <c r="BP166" s="88" t="str">
        <f t="shared" si="187"/>
        <v>$$$</v>
      </c>
      <c r="BQ166" s="88" t="str">
        <f t="shared" ref="BQ166:BQ168" si="209">IFERROR(SUMPRODUCT($BS$7:$CD$7,$BS166:$CD166,--($BS$4:$CD$4&lt;=$Q166))/SUMPRODUCT(--($BS$4:$CD$4&lt;=$Q166),$BS$7:$CD$7),"$$$")</f>
        <v>$$$</v>
      </c>
      <c r="BR166" s="88" t="str">
        <f t="shared" ref="BR166:BR168" si="210">IFERROR($BQ166-$BF166*100*SUMPRODUCT(--($BS$4:$CD$4&lt;=$Q166))/SUMPRODUCT(--($BS$4:$CD$4&lt;=$Q166),$BS$7:$CD$7)-$BG166*100,"$$$")</f>
        <v>$$$</v>
      </c>
      <c r="BS166" s="29" t="e">
        <f t="shared" si="196"/>
        <v>#N/A</v>
      </c>
      <c r="BT166" s="29" t="e">
        <f t="shared" si="196"/>
        <v>#N/A</v>
      </c>
      <c r="BU166" s="29" t="e">
        <f t="shared" si="196"/>
        <v>#N/A</v>
      </c>
      <c r="BV166" s="29" t="e">
        <f t="shared" si="196"/>
        <v>#N/A</v>
      </c>
      <c r="BW166" s="29" t="e">
        <f t="shared" si="196"/>
        <v>#N/A</v>
      </c>
      <c r="BX166" s="29" t="e">
        <f t="shared" si="196"/>
        <v>#N/A</v>
      </c>
      <c r="BY166" s="29" t="e">
        <f t="shared" si="196"/>
        <v>#N/A</v>
      </c>
      <c r="BZ166" s="29" t="e">
        <f t="shared" si="196"/>
        <v>#N/A</v>
      </c>
      <c r="CA166" s="29" t="e">
        <f t="shared" si="196"/>
        <v>#N/A</v>
      </c>
      <c r="CB166" s="29" t="e">
        <f t="shared" si="196"/>
        <v>#N/A</v>
      </c>
      <c r="CC166" s="29" t="e">
        <f t="shared" si="196"/>
        <v>#N/A</v>
      </c>
      <c r="CD166" s="29" t="e">
        <f t="shared" si="196"/>
        <v>#N/A</v>
      </c>
      <c r="CE166" s="6" t="str">
        <f t="shared" si="197"/>
        <v/>
      </c>
      <c r="CF166" s="27" t="e">
        <f>IF(AND(CI166,NOT(AD166)),LOOKUP(CF$5,{0,750,1500},H166:J166),"")</f>
        <v>#N/A</v>
      </c>
      <c r="CG166" s="6" t="str">
        <f t="shared" si="198"/>
        <v/>
      </c>
      <c r="CH166" t="e">
        <f t="shared" si="188"/>
        <v>#N/A</v>
      </c>
      <c r="CI166" t="e">
        <f t="shared" si="189"/>
        <v>#N/A</v>
      </c>
      <c r="CJ166" s="6" t="e">
        <f t="shared" si="202"/>
        <v>#N/A</v>
      </c>
      <c r="CK166" s="6">
        <f t="shared" si="203"/>
        <v>1</v>
      </c>
      <c r="CL166" s="6">
        <f t="shared" si="199"/>
        <v>1</v>
      </c>
      <c r="CM166" s="6">
        <f t="shared" si="204"/>
        <v>0</v>
      </c>
      <c r="CN166" s="6">
        <f t="shared" si="205"/>
        <v>0</v>
      </c>
      <c r="CO166" s="6">
        <f t="shared" si="206"/>
        <v>1</v>
      </c>
      <c r="CP166" s="6">
        <f t="shared" si="207"/>
        <v>1</v>
      </c>
      <c r="CQ166" s="6">
        <f t="shared" si="190"/>
        <v>1</v>
      </c>
      <c r="CR166" s="81" t="str">
        <f t="shared" si="208"/>
        <v/>
      </c>
      <c r="CS166">
        <f t="shared" si="191"/>
        <v>198</v>
      </c>
      <c r="CT166">
        <f t="shared" si="19"/>
        <v>0</v>
      </c>
      <c r="CU166" t="str">
        <f t="shared" si="200"/>
        <v/>
      </c>
      <c r="CV166" s="81">
        <f t="shared" si="192"/>
        <v>0</v>
      </c>
      <c r="CW166" s="81">
        <f>(CV166/25)^1.5*(Calculator!$BU$4/10000)*CW$5</f>
        <v>0</v>
      </c>
      <c r="CX166" t="str">
        <f t="shared" si="193"/>
        <v>$0</v>
      </c>
    </row>
    <row r="167" spans="2:102" x14ac:dyDescent="0.25">
      <c r="B167" s="115" t="s">
        <v>233</v>
      </c>
      <c r="C167" s="13">
        <v>46232.244444444441</v>
      </c>
      <c r="D167">
        <v>33788</v>
      </c>
      <c r="E167" s="54" t="s">
        <v>235</v>
      </c>
      <c r="F167" s="54" t="s">
        <v>552</v>
      </c>
      <c r="G167" s="54" t="s">
        <v>559</v>
      </c>
      <c r="H167" s="55">
        <v>13.100000000000001</v>
      </c>
      <c r="I167" s="55">
        <v>12.4</v>
      </c>
      <c r="J167" s="55">
        <v>12</v>
      </c>
      <c r="K167" s="54"/>
      <c r="L167" s="56" t="b">
        <v>0</v>
      </c>
      <c r="M167" s="56" t="b">
        <v>0</v>
      </c>
      <c r="N167" s="54">
        <v>0</v>
      </c>
      <c r="O167" s="54" t="s">
        <v>238</v>
      </c>
      <c r="P167" s="54">
        <v>100</v>
      </c>
      <c r="Q167" s="54">
        <v>1</v>
      </c>
      <c r="R167" s="54">
        <v>0</v>
      </c>
      <c r="S167" s="54" t="s">
        <v>554</v>
      </c>
      <c r="T167" s="54" t="s">
        <v>560</v>
      </c>
      <c r="U167" s="54" t="s">
        <v>556</v>
      </c>
      <c r="V167" s="54" t="s">
        <v>557</v>
      </c>
      <c r="W167" s="54" t="b">
        <v>0</v>
      </c>
      <c r="X167" s="54"/>
      <c r="Y167" s="57" t="s">
        <v>2042</v>
      </c>
      <c r="Z167" s="54" t="s">
        <v>2043</v>
      </c>
      <c r="AA167" s="54"/>
      <c r="AB167" s="54" t="s">
        <v>558</v>
      </c>
      <c r="AC167" s="56" t="b">
        <v>0</v>
      </c>
      <c r="AD167" s="56" t="b">
        <v>0</v>
      </c>
      <c r="AE167" s="54"/>
      <c r="AF167" s="58"/>
      <c r="AG167" s="62" t="s">
        <v>293</v>
      </c>
      <c r="AH167" s="54"/>
      <c r="AI167" s="54"/>
      <c r="AJ167" s="54"/>
      <c r="AK167" s="54"/>
      <c r="AL167" s="54"/>
      <c r="AM167" s="54">
        <v>0</v>
      </c>
      <c r="AN167" s="54"/>
      <c r="AO167" s="54"/>
      <c r="AP167" s="54"/>
      <c r="AQ167" s="54"/>
      <c r="AR167" s="54"/>
      <c r="AS167" s="54"/>
      <c r="AT167" s="54"/>
      <c r="AU167" s="54"/>
      <c r="AV167" s="54"/>
      <c r="AW167" s="54"/>
      <c r="AX167" s="59"/>
      <c r="AY167" s="59"/>
      <c r="AZ167" s="59"/>
      <c r="BA167" s="59"/>
      <c r="BB167" s="59"/>
      <c r="BC167" s="60"/>
      <c r="BD167" s="61"/>
      <c r="BE167" s="62"/>
      <c r="BF167" s="35">
        <f t="shared" si="194"/>
        <v>4.9000000000000004</v>
      </c>
      <c r="BG167" s="35">
        <f t="shared" si="194"/>
        <v>5.1461E-2</v>
      </c>
      <c r="BH167" s="35" t="str">
        <f t="shared" si="185"/>
        <v>?</v>
      </c>
      <c r="BI167" s="110" t="str">
        <f t="shared" si="186"/>
        <v/>
      </c>
      <c r="BJ167" s="83">
        <f>VLOOKUP($F167,REP_Info!$D$6:$H$250,5,FALSE)</f>
        <v>0.123</v>
      </c>
      <c r="BK167" s="30" t="e">
        <f t="shared" si="195"/>
        <v>#N/A</v>
      </c>
      <c r="BL167" s="30" t="e">
        <f t="shared" si="195"/>
        <v>#N/A</v>
      </c>
      <c r="BM167" s="30" t="e">
        <f t="shared" si="195"/>
        <v>#N/A</v>
      </c>
      <c r="BN167" s="29" t="e">
        <f t="shared" si="195"/>
        <v>#N/A</v>
      </c>
      <c r="BO167" s="85" t="str">
        <f t="shared" si="201"/>
        <v>$$$</v>
      </c>
      <c r="BP167" s="88" t="str">
        <f t="shared" si="187"/>
        <v>$$$</v>
      </c>
      <c r="BQ167" s="88" t="str">
        <f t="shared" si="209"/>
        <v>$$$</v>
      </c>
      <c r="BR167" s="88" t="str">
        <f t="shared" si="210"/>
        <v>$$$</v>
      </c>
      <c r="BS167" s="29" t="e">
        <f t="shared" si="196"/>
        <v>#N/A</v>
      </c>
      <c r="BT167" s="29" t="e">
        <f t="shared" si="196"/>
        <v>#N/A</v>
      </c>
      <c r="BU167" s="29" t="e">
        <f t="shared" si="196"/>
        <v>#N/A</v>
      </c>
      <c r="BV167" s="29" t="e">
        <f t="shared" si="196"/>
        <v>#N/A</v>
      </c>
      <c r="BW167" s="29" t="e">
        <f t="shared" si="196"/>
        <v>#N/A</v>
      </c>
      <c r="BX167" s="29" t="e">
        <f t="shared" si="196"/>
        <v>#N/A</v>
      </c>
      <c r="BY167" s="29" t="e">
        <f t="shared" si="196"/>
        <v>#N/A</v>
      </c>
      <c r="BZ167" s="29" t="e">
        <f t="shared" si="196"/>
        <v>#N/A</v>
      </c>
      <c r="CA167" s="29" t="e">
        <f t="shared" si="196"/>
        <v>#N/A</v>
      </c>
      <c r="CB167" s="29" t="e">
        <f t="shared" si="196"/>
        <v>#N/A</v>
      </c>
      <c r="CC167" s="29" t="e">
        <f t="shared" si="196"/>
        <v>#N/A</v>
      </c>
      <c r="CD167" s="29" t="e">
        <f t="shared" si="196"/>
        <v>#N/A</v>
      </c>
      <c r="CE167" s="6" t="str">
        <f t="shared" si="197"/>
        <v/>
      </c>
      <c r="CF167" s="27" t="e">
        <f>IF(AND(CI167,NOT(AD167)),LOOKUP(CF$5,{0,750,1500},H167:J167),"")</f>
        <v>#N/A</v>
      </c>
      <c r="CG167" s="6" t="str">
        <f t="shared" si="198"/>
        <v/>
      </c>
      <c r="CH167" t="e">
        <f t="shared" si="188"/>
        <v>#N/A</v>
      </c>
      <c r="CI167" t="e">
        <f t="shared" si="189"/>
        <v>#N/A</v>
      </c>
      <c r="CJ167" s="6" t="e">
        <f t="shared" si="202"/>
        <v>#N/A</v>
      </c>
      <c r="CK167" s="6">
        <f t="shared" si="203"/>
        <v>1</v>
      </c>
      <c r="CL167" s="6">
        <f t="shared" si="199"/>
        <v>1</v>
      </c>
      <c r="CM167" s="6">
        <f t="shared" si="204"/>
        <v>0</v>
      </c>
      <c r="CN167" s="6">
        <f t="shared" si="205"/>
        <v>0</v>
      </c>
      <c r="CO167" s="6">
        <f t="shared" si="206"/>
        <v>1</v>
      </c>
      <c r="CP167" s="6">
        <f t="shared" si="207"/>
        <v>1</v>
      </c>
      <c r="CQ167" s="6">
        <f t="shared" si="190"/>
        <v>1</v>
      </c>
      <c r="CR167" s="81" t="str">
        <f t="shared" si="208"/>
        <v/>
      </c>
      <c r="CS167">
        <f t="shared" si="191"/>
        <v>198</v>
      </c>
      <c r="CT167">
        <f t="shared" si="19"/>
        <v>0</v>
      </c>
      <c r="CU167" t="str">
        <f t="shared" si="200"/>
        <v/>
      </c>
      <c r="CV167" s="81">
        <f t="shared" si="192"/>
        <v>0</v>
      </c>
      <c r="CW167" s="81">
        <f>(CV167/25)^1.5*(Calculator!$BU$4/10000)*CW$5</f>
        <v>0</v>
      </c>
      <c r="CX167" t="str">
        <f t="shared" si="193"/>
        <v>$0</v>
      </c>
    </row>
    <row r="168" spans="2:102" x14ac:dyDescent="0.25">
      <c r="B168" s="115" t="s">
        <v>233</v>
      </c>
      <c r="C168" s="13">
        <v>46232.244444444441</v>
      </c>
      <c r="D168">
        <v>33789</v>
      </c>
      <c r="E168" s="54" t="s">
        <v>237</v>
      </c>
      <c r="F168" s="54" t="s">
        <v>552</v>
      </c>
      <c r="G168" s="54" t="s">
        <v>559</v>
      </c>
      <c r="H168" s="55">
        <v>13.600000000000001</v>
      </c>
      <c r="I168" s="55">
        <v>13</v>
      </c>
      <c r="J168" s="55">
        <v>12.7</v>
      </c>
      <c r="K168" s="54"/>
      <c r="L168" s="56" t="b">
        <v>0</v>
      </c>
      <c r="M168" s="56" t="b">
        <v>0</v>
      </c>
      <c r="N168" s="54">
        <v>0</v>
      </c>
      <c r="O168" s="54" t="s">
        <v>238</v>
      </c>
      <c r="P168" s="54">
        <v>100</v>
      </c>
      <c r="Q168" s="54">
        <v>1</v>
      </c>
      <c r="R168" s="54">
        <v>0</v>
      </c>
      <c r="S168" s="54" t="s">
        <v>554</v>
      </c>
      <c r="T168" s="54" t="s">
        <v>560</v>
      </c>
      <c r="U168" s="54" t="s">
        <v>556</v>
      </c>
      <c r="V168" s="54" t="s">
        <v>557</v>
      </c>
      <c r="W168" s="54" t="b">
        <v>0</v>
      </c>
      <c r="X168" s="54"/>
      <c r="Y168" s="57" t="s">
        <v>2044</v>
      </c>
      <c r="Z168" s="54" t="s">
        <v>2045</v>
      </c>
      <c r="AA168" s="54"/>
      <c r="AB168" s="54" t="s">
        <v>558</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si="194"/>
        <v>4.0600000000000005</v>
      </c>
      <c r="BG168" s="35">
        <f t="shared" si="194"/>
        <v>6.0295000000000001E-2</v>
      </c>
      <c r="BH168" s="35" t="str">
        <f t="shared" si="185"/>
        <v>?</v>
      </c>
      <c r="BI168" s="110" t="str">
        <f t="shared" si="186"/>
        <v/>
      </c>
      <c r="BJ168" s="83">
        <f>VLOOKUP($F168,REP_Info!$D$6:$H$250,5,FALSE)</f>
        <v>0.123</v>
      </c>
      <c r="BK168" s="30" t="e">
        <f t="shared" si="195"/>
        <v>#N/A</v>
      </c>
      <c r="BL168" s="30" t="e">
        <f t="shared" si="195"/>
        <v>#N/A</v>
      </c>
      <c r="BM168" s="30" t="e">
        <f t="shared" si="195"/>
        <v>#N/A</v>
      </c>
      <c r="BN168" s="29" t="e">
        <f t="shared" si="195"/>
        <v>#N/A</v>
      </c>
      <c r="BO168" s="85" t="str">
        <f t="shared" si="201"/>
        <v>$$$</v>
      </c>
      <c r="BP168" s="88" t="str">
        <f t="shared" si="187"/>
        <v>$$$</v>
      </c>
      <c r="BQ168" s="88" t="str">
        <f t="shared" si="209"/>
        <v>$$$</v>
      </c>
      <c r="BR168" s="88" t="str">
        <f t="shared" si="210"/>
        <v>$$$</v>
      </c>
      <c r="BS168" s="29" t="e">
        <f t="shared" si="196"/>
        <v>#N/A</v>
      </c>
      <c r="BT168" s="29" t="e">
        <f t="shared" si="196"/>
        <v>#N/A</v>
      </c>
      <c r="BU168" s="29" t="e">
        <f t="shared" si="196"/>
        <v>#N/A</v>
      </c>
      <c r="BV168" s="29" t="e">
        <f t="shared" si="196"/>
        <v>#N/A</v>
      </c>
      <c r="BW168" s="29" t="e">
        <f t="shared" si="196"/>
        <v>#N/A</v>
      </c>
      <c r="BX168" s="29" t="e">
        <f t="shared" si="196"/>
        <v>#N/A</v>
      </c>
      <c r="BY168" s="29" t="e">
        <f t="shared" si="196"/>
        <v>#N/A</v>
      </c>
      <c r="BZ168" s="29" t="e">
        <f t="shared" si="196"/>
        <v>#N/A</v>
      </c>
      <c r="CA168" s="29" t="e">
        <f t="shared" si="196"/>
        <v>#N/A</v>
      </c>
      <c r="CB168" s="29" t="e">
        <f t="shared" si="196"/>
        <v>#N/A</v>
      </c>
      <c r="CC168" s="29" t="e">
        <f t="shared" si="196"/>
        <v>#N/A</v>
      </c>
      <c r="CD168" s="29" t="e">
        <f t="shared" si="196"/>
        <v>#N/A</v>
      </c>
      <c r="CE168" s="6" t="str">
        <f t="shared" si="197"/>
        <v/>
      </c>
      <c r="CF168" s="27" t="e">
        <f>IF(AND(CI168,NOT(AD168)),LOOKUP(CF$5,{0,750,1500},H168:J168),"")</f>
        <v>#N/A</v>
      </c>
      <c r="CG168" s="6" t="str">
        <f t="shared" si="198"/>
        <v/>
      </c>
      <c r="CH168" t="e">
        <f t="shared" si="188"/>
        <v>#N/A</v>
      </c>
      <c r="CI168" t="e">
        <f t="shared" si="189"/>
        <v>#N/A</v>
      </c>
      <c r="CJ168" s="6" t="e">
        <f t="shared" si="202"/>
        <v>#N/A</v>
      </c>
      <c r="CK168" s="6">
        <f t="shared" si="203"/>
        <v>1</v>
      </c>
      <c r="CL168" s="6">
        <f t="shared" si="199"/>
        <v>1</v>
      </c>
      <c r="CM168" s="6">
        <f t="shared" si="204"/>
        <v>0</v>
      </c>
      <c r="CN168" s="6">
        <f t="shared" si="205"/>
        <v>0</v>
      </c>
      <c r="CO168" s="6">
        <f t="shared" si="206"/>
        <v>1</v>
      </c>
      <c r="CP168" s="6">
        <f t="shared" si="207"/>
        <v>1</v>
      </c>
      <c r="CQ168" s="6">
        <f t="shared" si="190"/>
        <v>1</v>
      </c>
      <c r="CR168" s="81" t="str">
        <f t="shared" si="208"/>
        <v/>
      </c>
      <c r="CS168">
        <f t="shared" si="191"/>
        <v>198</v>
      </c>
      <c r="CT168">
        <f t="shared" si="19"/>
        <v>0</v>
      </c>
      <c r="CU168" t="str">
        <f t="shared" si="200"/>
        <v/>
      </c>
      <c r="CV168" s="81">
        <f t="shared" si="192"/>
        <v>0</v>
      </c>
      <c r="CW168" s="81">
        <f>(CV168/25)^1.5*(Calculator!$BU$4/10000)*CW$5</f>
        <v>0</v>
      </c>
      <c r="CX168" t="str">
        <f t="shared" si="193"/>
        <v>$0</v>
      </c>
    </row>
    <row r="169" spans="2:102" x14ac:dyDescent="0.25">
      <c r="B169" s="115" t="s">
        <v>233</v>
      </c>
      <c r="C169" s="13">
        <v>46232.244444444441</v>
      </c>
      <c r="D169">
        <v>33793</v>
      </c>
      <c r="E169" s="54" t="s">
        <v>235</v>
      </c>
      <c r="F169" s="54" t="s">
        <v>552</v>
      </c>
      <c r="G169" s="54" t="s">
        <v>561</v>
      </c>
      <c r="H169" s="55">
        <v>13.4</v>
      </c>
      <c r="I169" s="55">
        <v>12.4</v>
      </c>
      <c r="J169" s="55">
        <v>11.899999999999999</v>
      </c>
      <c r="K169" s="54"/>
      <c r="L169" s="56" t="b">
        <v>0</v>
      </c>
      <c r="M169" s="56" t="b">
        <v>0</v>
      </c>
      <c r="N169" s="54">
        <v>0</v>
      </c>
      <c r="O169" s="54" t="s">
        <v>238</v>
      </c>
      <c r="P169" s="54">
        <v>100</v>
      </c>
      <c r="Q169" s="54">
        <v>1</v>
      </c>
      <c r="R169" s="54">
        <v>0</v>
      </c>
      <c r="S169" s="54" t="s">
        <v>554</v>
      </c>
      <c r="T169" s="54" t="s">
        <v>560</v>
      </c>
      <c r="U169" s="54" t="s">
        <v>556</v>
      </c>
      <c r="V169" s="54" t="s">
        <v>557</v>
      </c>
      <c r="W169" s="54" t="b">
        <v>0</v>
      </c>
      <c r="X169" s="54"/>
      <c r="Y169" s="57" t="s">
        <v>2046</v>
      </c>
      <c r="Z169" s="54" t="s">
        <v>2047</v>
      </c>
      <c r="AA169" s="54"/>
      <c r="AB169" s="54" t="s">
        <v>558</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ref="BF169:BG174" si="211">IF($E169=$E$4,BF$4,IF($E169=$E$5,BF$5,""))</f>
        <v>4.9000000000000004</v>
      </c>
      <c r="BG169" s="35">
        <f t="shared" si="211"/>
        <v>5.1461E-2</v>
      </c>
      <c r="BH169" s="35" t="str">
        <f t="shared" ref="BH169:BH174" si="212">IF(ISTEXT(BE169),IF(AND(AV169=0,SUM(AN169:AQ169)=0),IF(AM169&lt;=0,IF(BE169="Y","Low","Flat"),"Med"),"High"),"?")</f>
        <v>?</v>
      </c>
      <c r="BI169" s="110" t="str">
        <f t="shared" ref="BI169:BI174" si="213">IF(ISNUMBER(AH169),0*BI$5*SIN((EDATE($A$3,$Q169)-DATE(YEAR(EDATE($A$3,$Q169)),1,0)-BI$4)*2*PI()/365),"")</f>
        <v/>
      </c>
      <c r="BJ169" s="83">
        <f>VLOOKUP($F169,REP_Info!$D$6:$H$250,5,FALSE)</f>
        <v>0.123</v>
      </c>
      <c r="BK169" s="30" t="e">
        <f t="shared" ref="BK169:BN174" si="214">IF(BK$7&gt;0,(LOOKUP(BK$7,$AH169:$AL169,$AM169:$AQ169)+IF($AG169="Y",SUMPRODUCT($AX169:$BB169-$AW169:$BA169,BK$7-$AR169:$AV169,N(BK$7&gt;$AR169:$AV169)),BK$7*LOOKUP(BK$7,$AR169:$AV169,$AX169:$BB169))+IF($BE169="Y",$BF169,$BC169)+BK$7*IF($BE169="Y",$BG169,$BD169))*100/BK$7,"")</f>
        <v>#N/A</v>
      </c>
      <c r="BL169" s="30" t="e">
        <f t="shared" si="214"/>
        <v>#N/A</v>
      </c>
      <c r="BM169" s="30" t="e">
        <f t="shared" si="214"/>
        <v>#N/A</v>
      </c>
      <c r="BN169" s="29" t="e">
        <f t="shared" si="214"/>
        <v>#N/A</v>
      </c>
      <c r="BO169" s="85" t="str">
        <f t="shared" si="2"/>
        <v>$$$</v>
      </c>
      <c r="BP169" s="88" t="str">
        <f t="shared" ref="BP169:BP174" si="215">IFERROR(BO169*100/BO$5,"$$$")</f>
        <v>$$$</v>
      </c>
      <c r="BQ169" s="88" t="str">
        <f t="shared" si="4"/>
        <v>$$$</v>
      </c>
      <c r="BR169" s="88" t="str">
        <f t="shared" si="5"/>
        <v>$$$</v>
      </c>
      <c r="BS169" s="29" t="e">
        <f t="shared" ref="BS169:CD174" si="216">IF($CI169,IF(BS$7&gt;0,IF(BS$4&gt;$Q169,$BF169+BS$7*(BS$5+$BG169+$BI169),LOOKUP(BS$7,$AH169:$AL169,$AM169:$AQ169)+IF($AG169="Y",SUMPRODUCT($AX169:$BB169-$AW169:$BA169,BS$7-$AR169:$AV169,N(BS$7&gt;$AR169:$AV169)),BS$7*LOOKUP(BS$7,$AR169:$AV169,$AX169:$BB169))+IF($BE169="Y",$BF169,$BC169)+BS$7*IF($BE169="Y",$BG169,$BD169))*100/BS$7,""),NA())</f>
        <v>#N/A</v>
      </c>
      <c r="BT169" s="29" t="e">
        <f t="shared" si="216"/>
        <v>#N/A</v>
      </c>
      <c r="BU169" s="29" t="e">
        <f t="shared" si="216"/>
        <v>#N/A</v>
      </c>
      <c r="BV169" s="29" t="e">
        <f t="shared" si="216"/>
        <v>#N/A</v>
      </c>
      <c r="BW169" s="29" t="e">
        <f t="shared" si="216"/>
        <v>#N/A</v>
      </c>
      <c r="BX169" s="29" t="e">
        <f t="shared" si="216"/>
        <v>#N/A</v>
      </c>
      <c r="BY169" s="29" t="e">
        <f t="shared" si="216"/>
        <v>#N/A</v>
      </c>
      <c r="BZ169" s="29" t="e">
        <f t="shared" si="216"/>
        <v>#N/A</v>
      </c>
      <c r="CA169" s="29" t="e">
        <f t="shared" si="216"/>
        <v>#N/A</v>
      </c>
      <c r="CB169" s="29" t="e">
        <f t="shared" si="216"/>
        <v>#N/A</v>
      </c>
      <c r="CC169" s="29" t="e">
        <f t="shared" si="216"/>
        <v>#N/A</v>
      </c>
      <c r="CD169" s="29" t="e">
        <f t="shared" si="216"/>
        <v>#N/A</v>
      </c>
      <c r="CE169" s="6" t="str">
        <f t="shared" si="197"/>
        <v/>
      </c>
      <c r="CF169" s="27" t="e">
        <f>IF(AND(CI169,NOT(AD169)),LOOKUP(CF$5,{0,750,1500},H169:J169),"")</f>
        <v>#N/A</v>
      </c>
      <c r="CG169" s="6" t="str">
        <f t="shared" si="198"/>
        <v/>
      </c>
      <c r="CH169" t="e">
        <f t="shared" ref="CH169:CH174" si="217">IF(CI169,IF(ISNUMBER(BO169),BO169,100000)+CV169/10000+IF(ISNUMBER(BJ169),BJ169,2)/10000-P169/100000+ROW()/10000000,"")</f>
        <v>#N/A</v>
      </c>
      <c r="CI169" t="e">
        <f t="shared" ref="CI169:CI174" si="218">PRODUCT(CJ169:CQ169)</f>
        <v>#N/A</v>
      </c>
      <c r="CJ169" s="6" t="e">
        <f t="shared" si="11"/>
        <v>#N/A</v>
      </c>
      <c r="CK169" s="6">
        <f t="shared" si="12"/>
        <v>1</v>
      </c>
      <c r="CL169" s="6">
        <f t="shared" ref="CL169:CL174" si="219">IFERROR(--OR(ISBLANK(CL$5),$BJ169="",AND(ISNUMBER($BJ169),$BJ169&lt;=CL$5)),1)</f>
        <v>1</v>
      </c>
      <c r="CM169" s="6">
        <f t="shared" si="13"/>
        <v>0</v>
      </c>
      <c r="CN169" s="6">
        <f t="shared" si="14"/>
        <v>0</v>
      </c>
      <c r="CO169" s="6">
        <f t="shared" si="15"/>
        <v>1</v>
      </c>
      <c r="CP169" s="6">
        <f t="shared" si="16"/>
        <v>1</v>
      </c>
      <c r="CQ169" s="6">
        <f t="shared" ref="CQ169:CQ174" si="220">IF(CQ$5="Any",1,IF(AND(CQ$5="Med",AV169=0,SUM(AN169:AQ169)=0),1,IF(AND(CQ$5="Low",AV169=0,SUM(AN169:AQ169)=0,AM169=0),1,IF(AND(CQ$5="Flat",AV169=0,SUM(AN169:AQ169)=0,AM169=0,IFERROR(NOT(BE169="Y"),0)),1,0))))</f>
        <v>1</v>
      </c>
      <c r="CR169" s="81" t="str">
        <f t="shared" si="17"/>
        <v/>
      </c>
      <c r="CS169">
        <f t="shared" ref="CS169:CS174" si="221">CS$5*(12/(MIN(12,Q169))-1)</f>
        <v>198</v>
      </c>
      <c r="CT169">
        <f t="shared" si="19"/>
        <v>0</v>
      </c>
      <c r="CU169" t="str">
        <f t="shared" ref="CU169:CU174" si="222">IF(AND(ISERR(FIND("remain",$R169)),ISERR(FIND("left",$R169))),"","r")&amp;IF(ISERR(FIND("mon",$R169)),"","m")</f>
        <v/>
      </c>
      <c r="CV169" s="81">
        <f t="shared" ref="CV169:CV174" si="223">CT169*IF(CU169="",1,Q169)</f>
        <v>0</v>
      </c>
      <c r="CW169" s="81">
        <f>(CV169/25)^1.5*(Calculator!$BU$4/10000)*CW$5</f>
        <v>0</v>
      </c>
      <c r="CX169" t="str">
        <f t="shared" ref="CX169:CX174" si="224">"$"&amp;IF(LEFT(CU169,1)="r",CT169&amp;"/"&amp;CU169,CV169)</f>
        <v>$0</v>
      </c>
    </row>
    <row r="170" spans="2:102" x14ac:dyDescent="0.25">
      <c r="B170" s="115" t="s">
        <v>233</v>
      </c>
      <c r="C170" s="13">
        <v>46232.244444444441</v>
      </c>
      <c r="D170">
        <v>33794</v>
      </c>
      <c r="E170" s="54" t="s">
        <v>237</v>
      </c>
      <c r="F170" s="54" t="s">
        <v>552</v>
      </c>
      <c r="G170" s="54" t="s">
        <v>561</v>
      </c>
      <c r="H170" s="55">
        <v>13.900000000000002</v>
      </c>
      <c r="I170" s="55">
        <v>13</v>
      </c>
      <c r="J170" s="55">
        <v>12.5</v>
      </c>
      <c r="K170" s="54"/>
      <c r="L170" s="56" t="b">
        <v>0</v>
      </c>
      <c r="M170" s="56" t="b">
        <v>0</v>
      </c>
      <c r="N170" s="54">
        <v>0</v>
      </c>
      <c r="O170" s="54" t="s">
        <v>238</v>
      </c>
      <c r="P170" s="54">
        <v>100</v>
      </c>
      <c r="Q170" s="54">
        <v>1</v>
      </c>
      <c r="R170" s="54">
        <v>0</v>
      </c>
      <c r="S170" s="54" t="s">
        <v>554</v>
      </c>
      <c r="T170" s="54" t="s">
        <v>560</v>
      </c>
      <c r="U170" s="54" t="s">
        <v>556</v>
      </c>
      <c r="V170" s="54" t="s">
        <v>557</v>
      </c>
      <c r="W170" s="54" t="b">
        <v>0</v>
      </c>
      <c r="X170" s="54"/>
      <c r="Y170" s="57" t="s">
        <v>2048</v>
      </c>
      <c r="Z170" s="54" t="s">
        <v>2049</v>
      </c>
      <c r="AA170" s="54"/>
      <c r="AB170" s="54" t="s">
        <v>558</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11"/>
        <v>4.0600000000000005</v>
      </c>
      <c r="BG170" s="35">
        <f t="shared" si="211"/>
        <v>6.0295000000000001E-2</v>
      </c>
      <c r="BH170" s="35" t="str">
        <f t="shared" si="212"/>
        <v>?</v>
      </c>
      <c r="BI170" s="110" t="str">
        <f t="shared" si="213"/>
        <v/>
      </c>
      <c r="BJ170" s="83">
        <f>VLOOKUP($F170,REP_Info!$D$6:$H$250,5,FALSE)</f>
        <v>0.123</v>
      </c>
      <c r="BK170" s="30" t="e">
        <f t="shared" si="214"/>
        <v>#N/A</v>
      </c>
      <c r="BL170" s="30" t="e">
        <f t="shared" si="214"/>
        <v>#N/A</v>
      </c>
      <c r="BM170" s="30" t="e">
        <f t="shared" si="214"/>
        <v>#N/A</v>
      </c>
      <c r="BN170" s="29" t="e">
        <f t="shared" si="214"/>
        <v>#N/A</v>
      </c>
      <c r="BO170" s="85" t="str">
        <f t="shared" si="2"/>
        <v>$$$</v>
      </c>
      <c r="BP170" s="88" t="str">
        <f t="shared" si="215"/>
        <v>$$$</v>
      </c>
      <c r="BQ170" s="88" t="str">
        <f t="shared" si="4"/>
        <v>$$$</v>
      </c>
      <c r="BR170" s="88" t="str">
        <f t="shared" si="5"/>
        <v>$$$</v>
      </c>
      <c r="BS170" s="29" t="e">
        <f t="shared" si="216"/>
        <v>#N/A</v>
      </c>
      <c r="BT170" s="29" t="e">
        <f t="shared" si="216"/>
        <v>#N/A</v>
      </c>
      <c r="BU170" s="29" t="e">
        <f t="shared" si="216"/>
        <v>#N/A</v>
      </c>
      <c r="BV170" s="29" t="e">
        <f t="shared" si="216"/>
        <v>#N/A</v>
      </c>
      <c r="BW170" s="29" t="e">
        <f t="shared" si="216"/>
        <v>#N/A</v>
      </c>
      <c r="BX170" s="29" t="e">
        <f t="shared" si="216"/>
        <v>#N/A</v>
      </c>
      <c r="BY170" s="29" t="e">
        <f t="shared" si="216"/>
        <v>#N/A</v>
      </c>
      <c r="BZ170" s="29" t="e">
        <f t="shared" si="216"/>
        <v>#N/A</v>
      </c>
      <c r="CA170" s="29" t="e">
        <f t="shared" si="216"/>
        <v>#N/A</v>
      </c>
      <c r="CB170" s="29" t="e">
        <f t="shared" si="216"/>
        <v>#N/A</v>
      </c>
      <c r="CC170" s="29" t="e">
        <f t="shared" si="216"/>
        <v>#N/A</v>
      </c>
      <c r="CD170" s="29" t="e">
        <f t="shared" si="216"/>
        <v>#N/A</v>
      </c>
      <c r="CE170" s="6" t="str">
        <f t="shared" si="197"/>
        <v/>
      </c>
      <c r="CF170" s="27" t="e">
        <f>IF(AND(CI170,NOT(AD170)),LOOKUP(CF$5,{0,750,1500},H170:J170),"")</f>
        <v>#N/A</v>
      </c>
      <c r="CG170" s="6" t="str">
        <f t="shared" si="198"/>
        <v/>
      </c>
      <c r="CH170" t="e">
        <f t="shared" si="217"/>
        <v>#N/A</v>
      </c>
      <c r="CI170" t="e">
        <f t="shared" si="218"/>
        <v>#N/A</v>
      </c>
      <c r="CJ170" s="6" t="e">
        <f t="shared" si="11"/>
        <v>#N/A</v>
      </c>
      <c r="CK170" s="6">
        <f t="shared" si="12"/>
        <v>1</v>
      </c>
      <c r="CL170" s="6">
        <f t="shared" si="219"/>
        <v>1</v>
      </c>
      <c r="CM170" s="6">
        <f t="shared" si="13"/>
        <v>0</v>
      </c>
      <c r="CN170" s="6">
        <f t="shared" si="14"/>
        <v>0</v>
      </c>
      <c r="CO170" s="6">
        <f t="shared" si="15"/>
        <v>1</v>
      </c>
      <c r="CP170" s="6">
        <f t="shared" si="16"/>
        <v>1</v>
      </c>
      <c r="CQ170" s="6">
        <f t="shared" si="220"/>
        <v>1</v>
      </c>
      <c r="CR170" s="81" t="str">
        <f t="shared" si="17"/>
        <v/>
      </c>
      <c r="CS170">
        <f t="shared" si="221"/>
        <v>198</v>
      </c>
      <c r="CT170">
        <f t="shared" si="19"/>
        <v>0</v>
      </c>
      <c r="CU170" t="str">
        <f t="shared" si="222"/>
        <v/>
      </c>
      <c r="CV170" s="81">
        <f t="shared" si="223"/>
        <v>0</v>
      </c>
      <c r="CW170" s="81">
        <f>(CV170/25)^1.5*(Calculator!$BU$4/10000)*CW$5</f>
        <v>0</v>
      </c>
      <c r="CX170" t="str">
        <f t="shared" si="224"/>
        <v>$0</v>
      </c>
    </row>
    <row r="171" spans="2:102" x14ac:dyDescent="0.25">
      <c r="B171" s="115" t="s">
        <v>233</v>
      </c>
      <c r="C171" s="13">
        <v>46232.244444444441</v>
      </c>
      <c r="D171">
        <v>33798</v>
      </c>
      <c r="E171" s="54" t="s">
        <v>235</v>
      </c>
      <c r="F171" s="54" t="s">
        <v>552</v>
      </c>
      <c r="G171" s="54" t="s">
        <v>562</v>
      </c>
      <c r="H171" s="55">
        <v>13.3</v>
      </c>
      <c r="I171" s="55">
        <v>12.3</v>
      </c>
      <c r="J171" s="55">
        <v>11.799999999999999</v>
      </c>
      <c r="K171" s="54"/>
      <c r="L171" s="56" t="b">
        <v>0</v>
      </c>
      <c r="M171" s="56" t="b">
        <v>0</v>
      </c>
      <c r="N171" s="54">
        <v>0</v>
      </c>
      <c r="O171" s="54" t="s">
        <v>238</v>
      </c>
      <c r="P171" s="54">
        <v>24</v>
      </c>
      <c r="Q171" s="54">
        <v>1</v>
      </c>
      <c r="R171" s="54">
        <v>0</v>
      </c>
      <c r="S171" s="54" t="s">
        <v>554</v>
      </c>
      <c r="T171" s="54" t="s">
        <v>555</v>
      </c>
      <c r="U171" s="54" t="s">
        <v>556</v>
      </c>
      <c r="V171" s="54" t="s">
        <v>557</v>
      </c>
      <c r="W171" s="54" t="b">
        <v>0</v>
      </c>
      <c r="X171" s="54"/>
      <c r="Y171" s="57" t="s">
        <v>2050</v>
      </c>
      <c r="Z171" s="54" t="s">
        <v>2051</v>
      </c>
      <c r="AA171" s="54"/>
      <c r="AB171" s="54" t="s">
        <v>558</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11"/>
        <v>4.9000000000000004</v>
      </c>
      <c r="BG171" s="35">
        <f t="shared" si="211"/>
        <v>5.1461E-2</v>
      </c>
      <c r="BH171" s="35" t="str">
        <f t="shared" si="212"/>
        <v>?</v>
      </c>
      <c r="BI171" s="110" t="str">
        <f t="shared" si="213"/>
        <v/>
      </c>
      <c r="BJ171" s="83">
        <f>VLOOKUP($F171,REP_Info!$D$6:$H$250,5,FALSE)</f>
        <v>0.123</v>
      </c>
      <c r="BK171" s="30" t="e">
        <f t="shared" si="214"/>
        <v>#N/A</v>
      </c>
      <c r="BL171" s="30" t="e">
        <f t="shared" si="214"/>
        <v>#N/A</v>
      </c>
      <c r="BM171" s="30" t="e">
        <f t="shared" si="214"/>
        <v>#N/A</v>
      </c>
      <c r="BN171" s="29" t="e">
        <f t="shared" si="214"/>
        <v>#N/A</v>
      </c>
      <c r="BO171" s="85" t="str">
        <f t="shared" si="2"/>
        <v>$$$</v>
      </c>
      <c r="BP171" s="88" t="str">
        <f t="shared" si="215"/>
        <v>$$$</v>
      </c>
      <c r="BQ171" s="88" t="str">
        <f t="shared" si="4"/>
        <v>$$$</v>
      </c>
      <c r="BR171" s="88" t="str">
        <f t="shared" si="5"/>
        <v>$$$</v>
      </c>
      <c r="BS171" s="29" t="e">
        <f t="shared" si="216"/>
        <v>#N/A</v>
      </c>
      <c r="BT171" s="29" t="e">
        <f t="shared" si="216"/>
        <v>#N/A</v>
      </c>
      <c r="BU171" s="29" t="e">
        <f t="shared" si="216"/>
        <v>#N/A</v>
      </c>
      <c r="BV171" s="29" t="e">
        <f t="shared" si="216"/>
        <v>#N/A</v>
      </c>
      <c r="BW171" s="29" t="e">
        <f t="shared" si="216"/>
        <v>#N/A</v>
      </c>
      <c r="BX171" s="29" t="e">
        <f t="shared" si="216"/>
        <v>#N/A</v>
      </c>
      <c r="BY171" s="29" t="e">
        <f t="shared" si="216"/>
        <v>#N/A</v>
      </c>
      <c r="BZ171" s="29" t="e">
        <f t="shared" si="216"/>
        <v>#N/A</v>
      </c>
      <c r="CA171" s="29" t="e">
        <f t="shared" si="216"/>
        <v>#N/A</v>
      </c>
      <c r="CB171" s="29" t="e">
        <f t="shared" si="216"/>
        <v>#N/A</v>
      </c>
      <c r="CC171" s="29" t="e">
        <f t="shared" si="216"/>
        <v>#N/A</v>
      </c>
      <c r="CD171" s="29" t="e">
        <f t="shared" si="216"/>
        <v>#N/A</v>
      </c>
      <c r="CE171" s="6" t="str">
        <f t="shared" si="197"/>
        <v/>
      </c>
      <c r="CF171" s="27" t="e">
        <f>IF(AND(CI171,NOT(AD171)),LOOKUP(CF$5,{0,750,1500},H171:J171),"")</f>
        <v>#N/A</v>
      </c>
      <c r="CG171" s="6" t="str">
        <f t="shared" si="198"/>
        <v/>
      </c>
      <c r="CH171" t="e">
        <f t="shared" si="217"/>
        <v>#N/A</v>
      </c>
      <c r="CI171" t="e">
        <f t="shared" si="218"/>
        <v>#N/A</v>
      </c>
      <c r="CJ171" s="6" t="e">
        <f t="shared" si="11"/>
        <v>#N/A</v>
      </c>
      <c r="CK171" s="6">
        <f t="shared" si="12"/>
        <v>1</v>
      </c>
      <c r="CL171" s="6">
        <f t="shared" si="219"/>
        <v>1</v>
      </c>
      <c r="CM171" s="6">
        <f t="shared" si="13"/>
        <v>0</v>
      </c>
      <c r="CN171" s="6">
        <f t="shared" si="14"/>
        <v>0</v>
      </c>
      <c r="CO171" s="6">
        <f t="shared" si="15"/>
        <v>1</v>
      </c>
      <c r="CP171" s="6">
        <f t="shared" si="16"/>
        <v>1</v>
      </c>
      <c r="CQ171" s="6">
        <f t="shared" si="220"/>
        <v>1</v>
      </c>
      <c r="CR171" s="81" t="str">
        <f t="shared" si="17"/>
        <v/>
      </c>
      <c r="CS171">
        <f t="shared" si="221"/>
        <v>198</v>
      </c>
      <c r="CT171">
        <f t="shared" si="19"/>
        <v>0</v>
      </c>
      <c r="CU171" t="str">
        <f t="shared" si="222"/>
        <v/>
      </c>
      <c r="CV171" s="81">
        <f t="shared" si="223"/>
        <v>0</v>
      </c>
      <c r="CW171" s="81">
        <f>(CV171/25)^1.5*(Calculator!$BU$4/10000)*CW$5</f>
        <v>0</v>
      </c>
      <c r="CX171" t="str">
        <f t="shared" si="224"/>
        <v>$0</v>
      </c>
    </row>
    <row r="172" spans="2:102" x14ac:dyDescent="0.25">
      <c r="B172" s="115" t="s">
        <v>233</v>
      </c>
      <c r="C172" s="13">
        <v>46232.244444444441</v>
      </c>
      <c r="D172">
        <v>33799</v>
      </c>
      <c r="E172" s="54" t="s">
        <v>237</v>
      </c>
      <c r="F172" s="54" t="s">
        <v>552</v>
      </c>
      <c r="G172" s="54" t="s">
        <v>562</v>
      </c>
      <c r="H172" s="55">
        <v>13.8</v>
      </c>
      <c r="I172" s="55">
        <v>12.9</v>
      </c>
      <c r="J172" s="55">
        <v>12.4</v>
      </c>
      <c r="K172" s="54"/>
      <c r="L172" s="56" t="b">
        <v>0</v>
      </c>
      <c r="M172" s="56" t="b">
        <v>0</v>
      </c>
      <c r="N172" s="54">
        <v>0</v>
      </c>
      <c r="O172" s="54" t="s">
        <v>238</v>
      </c>
      <c r="P172" s="54">
        <v>24</v>
      </c>
      <c r="Q172" s="54">
        <v>1</v>
      </c>
      <c r="R172" s="54">
        <v>0</v>
      </c>
      <c r="S172" s="54" t="s">
        <v>554</v>
      </c>
      <c r="T172" s="54" t="s">
        <v>555</v>
      </c>
      <c r="U172" s="54" t="s">
        <v>556</v>
      </c>
      <c r="V172" s="54" t="s">
        <v>557</v>
      </c>
      <c r="W172" s="54" t="b">
        <v>0</v>
      </c>
      <c r="X172" s="54"/>
      <c r="Y172" s="57" t="s">
        <v>2052</v>
      </c>
      <c r="Z172" s="54" t="s">
        <v>2053</v>
      </c>
      <c r="AA172" s="54"/>
      <c r="AB172" s="54" t="s">
        <v>558</v>
      </c>
      <c r="AC172" s="56" t="b">
        <v>0</v>
      </c>
      <c r="AD172" s="56" t="b">
        <v>0</v>
      </c>
      <c r="AE172" s="54"/>
      <c r="AF172" s="58"/>
      <c r="AG172" s="62" t="s">
        <v>293</v>
      </c>
      <c r="AH172" s="54"/>
      <c r="AI172" s="54"/>
      <c r="AJ172" s="54"/>
      <c r="AK172" s="54"/>
      <c r="AL172" s="54"/>
      <c r="AM172" s="54">
        <v>0</v>
      </c>
      <c r="AN172" s="54"/>
      <c r="AO172" s="54"/>
      <c r="AP172" s="54"/>
      <c r="AQ172" s="54"/>
      <c r="AR172" s="54"/>
      <c r="AS172" s="54"/>
      <c r="AT172" s="54"/>
      <c r="AU172" s="54"/>
      <c r="AV172" s="54"/>
      <c r="AW172" s="54"/>
      <c r="AX172" s="59"/>
      <c r="AY172" s="59"/>
      <c r="AZ172" s="59"/>
      <c r="BA172" s="59"/>
      <c r="BB172" s="59"/>
      <c r="BC172" s="60"/>
      <c r="BD172" s="61"/>
      <c r="BE172" s="62"/>
      <c r="BF172" s="35">
        <f t="shared" si="211"/>
        <v>4.0600000000000005</v>
      </c>
      <c r="BG172" s="35">
        <f t="shared" si="211"/>
        <v>6.0295000000000001E-2</v>
      </c>
      <c r="BH172" s="35" t="str">
        <f t="shared" si="212"/>
        <v>?</v>
      </c>
      <c r="BI172" s="110" t="str">
        <f t="shared" si="213"/>
        <v/>
      </c>
      <c r="BJ172" s="83">
        <f>VLOOKUP($F172,REP_Info!$D$6:$H$250,5,FALSE)</f>
        <v>0.123</v>
      </c>
      <c r="BK172" s="30" t="e">
        <f t="shared" si="214"/>
        <v>#N/A</v>
      </c>
      <c r="BL172" s="30" t="e">
        <f t="shared" si="214"/>
        <v>#N/A</v>
      </c>
      <c r="BM172" s="30" t="e">
        <f t="shared" si="214"/>
        <v>#N/A</v>
      </c>
      <c r="BN172" s="29" t="e">
        <f t="shared" si="214"/>
        <v>#N/A</v>
      </c>
      <c r="BO172" s="85" t="str">
        <f t="shared" si="2"/>
        <v>$$$</v>
      </c>
      <c r="BP172" s="88" t="str">
        <f t="shared" si="215"/>
        <v>$$$</v>
      </c>
      <c r="BQ172" s="88" t="str">
        <f t="shared" si="4"/>
        <v>$$$</v>
      </c>
      <c r="BR172" s="88" t="str">
        <f t="shared" si="5"/>
        <v>$$$</v>
      </c>
      <c r="BS172" s="29" t="e">
        <f t="shared" si="216"/>
        <v>#N/A</v>
      </c>
      <c r="BT172" s="29" t="e">
        <f t="shared" si="216"/>
        <v>#N/A</v>
      </c>
      <c r="BU172" s="29" t="e">
        <f t="shared" si="216"/>
        <v>#N/A</v>
      </c>
      <c r="BV172" s="29" t="e">
        <f t="shared" si="216"/>
        <v>#N/A</v>
      </c>
      <c r="BW172" s="29" t="e">
        <f t="shared" si="216"/>
        <v>#N/A</v>
      </c>
      <c r="BX172" s="29" t="e">
        <f t="shared" si="216"/>
        <v>#N/A</v>
      </c>
      <c r="BY172" s="29" t="e">
        <f t="shared" si="216"/>
        <v>#N/A</v>
      </c>
      <c r="BZ172" s="29" t="e">
        <f t="shared" si="216"/>
        <v>#N/A</v>
      </c>
      <c r="CA172" s="29" t="e">
        <f t="shared" si="216"/>
        <v>#N/A</v>
      </c>
      <c r="CB172" s="29" t="e">
        <f t="shared" si="216"/>
        <v>#N/A</v>
      </c>
      <c r="CC172" s="29" t="e">
        <f t="shared" si="216"/>
        <v>#N/A</v>
      </c>
      <c r="CD172" s="29" t="e">
        <f t="shared" si="216"/>
        <v>#N/A</v>
      </c>
      <c r="CE172" s="6" t="str">
        <f t="shared" si="197"/>
        <v/>
      </c>
      <c r="CF172" s="27" t="e">
        <f>IF(AND(CI172,NOT(AD172)),LOOKUP(CF$5,{0,750,1500},H172:J172),"")</f>
        <v>#N/A</v>
      </c>
      <c r="CG172" s="6" t="str">
        <f t="shared" si="198"/>
        <v/>
      </c>
      <c r="CH172" t="e">
        <f t="shared" si="217"/>
        <v>#N/A</v>
      </c>
      <c r="CI172" t="e">
        <f t="shared" si="218"/>
        <v>#N/A</v>
      </c>
      <c r="CJ172" s="6" t="e">
        <f t="shared" si="11"/>
        <v>#N/A</v>
      </c>
      <c r="CK172" s="6">
        <f t="shared" si="12"/>
        <v>1</v>
      </c>
      <c r="CL172" s="6">
        <f t="shared" si="219"/>
        <v>1</v>
      </c>
      <c r="CM172" s="6">
        <f t="shared" si="13"/>
        <v>0</v>
      </c>
      <c r="CN172" s="6">
        <f t="shared" si="14"/>
        <v>0</v>
      </c>
      <c r="CO172" s="6">
        <f t="shared" si="15"/>
        <v>1</v>
      </c>
      <c r="CP172" s="6">
        <f t="shared" si="16"/>
        <v>1</v>
      </c>
      <c r="CQ172" s="6">
        <f t="shared" si="220"/>
        <v>1</v>
      </c>
      <c r="CR172" s="81" t="str">
        <f t="shared" si="17"/>
        <v/>
      </c>
      <c r="CS172">
        <f t="shared" si="221"/>
        <v>198</v>
      </c>
      <c r="CT172">
        <f t="shared" si="19"/>
        <v>0</v>
      </c>
      <c r="CU172" t="str">
        <f t="shared" si="222"/>
        <v/>
      </c>
      <c r="CV172" s="81">
        <f t="shared" si="223"/>
        <v>0</v>
      </c>
      <c r="CW172" s="81">
        <f>(CV172/25)^1.5*(Calculator!$BU$4/10000)*CW$5</f>
        <v>0</v>
      </c>
      <c r="CX172" t="str">
        <f t="shared" si="224"/>
        <v>$0</v>
      </c>
    </row>
    <row r="173" spans="2:102" x14ac:dyDescent="0.25">
      <c r="B173" s="115" t="s">
        <v>233</v>
      </c>
      <c r="C173" s="13">
        <v>46232.244444444441</v>
      </c>
      <c r="D173">
        <v>33813</v>
      </c>
      <c r="E173" s="54" t="s">
        <v>235</v>
      </c>
      <c r="F173" s="54" t="s">
        <v>552</v>
      </c>
      <c r="G173" s="54" t="s">
        <v>563</v>
      </c>
      <c r="H173" s="55">
        <v>13.200000000000001</v>
      </c>
      <c r="I173" s="55">
        <v>12.5</v>
      </c>
      <c r="J173" s="55">
        <v>12.1</v>
      </c>
      <c r="K173" s="54"/>
      <c r="L173" s="56" t="b">
        <v>0</v>
      </c>
      <c r="M173" s="56" t="b">
        <v>0</v>
      </c>
      <c r="N173" s="54">
        <v>1</v>
      </c>
      <c r="O173" s="54" t="s">
        <v>228</v>
      </c>
      <c r="P173" s="54">
        <v>24</v>
      </c>
      <c r="Q173" s="54">
        <v>3</v>
      </c>
      <c r="R173" s="54">
        <v>100</v>
      </c>
      <c r="S173" s="54" t="s">
        <v>554</v>
      </c>
      <c r="T173" s="54" t="s">
        <v>555</v>
      </c>
      <c r="U173" s="54" t="s">
        <v>556</v>
      </c>
      <c r="V173" s="54" t="s">
        <v>557</v>
      </c>
      <c r="W173" s="54" t="b">
        <v>0</v>
      </c>
      <c r="X173" s="54"/>
      <c r="Y173" s="57" t="s">
        <v>2054</v>
      </c>
      <c r="Z173" s="54" t="s">
        <v>2055</v>
      </c>
      <c r="AA173" s="54"/>
      <c r="AB173" s="54" t="s">
        <v>558</v>
      </c>
      <c r="AC173" s="56" t="b">
        <v>1</v>
      </c>
      <c r="AD173" s="56" t="b">
        <v>0</v>
      </c>
      <c r="AE173" s="54" t="s">
        <v>303</v>
      </c>
      <c r="AF173" s="58">
        <v>46231</v>
      </c>
      <c r="AG173" s="62" t="s">
        <v>293</v>
      </c>
      <c r="AH173" s="54">
        <v>0</v>
      </c>
      <c r="AI173" s="54"/>
      <c r="AJ173" s="54"/>
      <c r="AK173" s="54"/>
      <c r="AL173" s="54"/>
      <c r="AM173" s="54">
        <v>2</v>
      </c>
      <c r="AN173" s="54"/>
      <c r="AO173" s="54"/>
      <c r="AP173" s="54"/>
      <c r="AQ173" s="54"/>
      <c r="AR173" s="54"/>
      <c r="AS173" s="54"/>
      <c r="AT173" s="54"/>
      <c r="AU173" s="54"/>
      <c r="AV173" s="54"/>
      <c r="AW173" s="54"/>
      <c r="AX173" s="59"/>
      <c r="AY173" s="59"/>
      <c r="AZ173" s="59"/>
      <c r="BA173" s="59"/>
      <c r="BB173" s="59">
        <v>6.6489999999999994E-2</v>
      </c>
      <c r="BC173" s="60">
        <v>4.9000000000000004</v>
      </c>
      <c r="BD173" s="61">
        <v>5.1461E-2</v>
      </c>
      <c r="BE173" s="62" t="s">
        <v>293</v>
      </c>
      <c r="BF173" s="35">
        <f t="shared" si="211"/>
        <v>4.9000000000000004</v>
      </c>
      <c r="BG173" s="35">
        <f t="shared" si="211"/>
        <v>5.1461E-2</v>
      </c>
      <c r="BH173" s="35" t="str">
        <f t="shared" si="212"/>
        <v>Med</v>
      </c>
      <c r="BI173" s="110">
        <f t="shared" si="213"/>
        <v>0</v>
      </c>
      <c r="BJ173" s="83">
        <f>VLOOKUP($F173,REP_Info!$D$6:$H$250,5,FALSE)</f>
        <v>0.123</v>
      </c>
      <c r="BK173" s="30">
        <f t="shared" si="214"/>
        <v>13.175099999999999</v>
      </c>
      <c r="BL173" s="30">
        <f t="shared" si="214"/>
        <v>12.485100000000001</v>
      </c>
      <c r="BM173" s="30">
        <f t="shared" si="214"/>
        <v>12.1401</v>
      </c>
      <c r="BN173" s="29">
        <f t="shared" si="214"/>
        <v>12.025099999999998</v>
      </c>
      <c r="BO173" s="85" t="str">
        <f t="shared" si="2"/>
        <v>$$$</v>
      </c>
      <c r="BP173" s="88" t="str">
        <f t="shared" si="215"/>
        <v>$$$</v>
      </c>
      <c r="BQ173" s="88" t="str">
        <f t="shared" si="4"/>
        <v>$$$</v>
      </c>
      <c r="BR173" s="88" t="str">
        <f t="shared" si="5"/>
        <v>$$$</v>
      </c>
      <c r="BS173" s="29" t="e">
        <f t="shared" si="216"/>
        <v>#N/A</v>
      </c>
      <c r="BT173" s="29" t="e">
        <f t="shared" si="216"/>
        <v>#N/A</v>
      </c>
      <c r="BU173" s="29" t="e">
        <f t="shared" si="216"/>
        <v>#N/A</v>
      </c>
      <c r="BV173" s="29" t="e">
        <f t="shared" si="216"/>
        <v>#N/A</v>
      </c>
      <c r="BW173" s="29" t="e">
        <f t="shared" si="216"/>
        <v>#N/A</v>
      </c>
      <c r="BX173" s="29" t="e">
        <f t="shared" si="216"/>
        <v>#N/A</v>
      </c>
      <c r="BY173" s="29" t="e">
        <f t="shared" si="216"/>
        <v>#N/A</v>
      </c>
      <c r="BZ173" s="29" t="e">
        <f t="shared" si="216"/>
        <v>#N/A</v>
      </c>
      <c r="CA173" s="29" t="e">
        <f t="shared" si="216"/>
        <v>#N/A</v>
      </c>
      <c r="CB173" s="29" t="e">
        <f t="shared" si="216"/>
        <v>#N/A</v>
      </c>
      <c r="CC173" s="29" t="e">
        <f t="shared" si="216"/>
        <v>#N/A</v>
      </c>
      <c r="CD173" s="29" t="e">
        <f t="shared" si="216"/>
        <v>#N/A</v>
      </c>
      <c r="CE173" s="6" t="str">
        <f t="shared" si="197"/>
        <v/>
      </c>
      <c r="CF173" s="27" t="e">
        <f>IF(AND(CI173,NOT(AD173)),LOOKUP(CF$5,{0,750,1500},H173:J173),"")</f>
        <v>#N/A</v>
      </c>
      <c r="CG173" s="6" t="str">
        <f t="shared" si="198"/>
        <v/>
      </c>
      <c r="CH173" t="e">
        <f t="shared" si="217"/>
        <v>#N/A</v>
      </c>
      <c r="CI173" t="e">
        <f t="shared" si="218"/>
        <v>#N/A</v>
      </c>
      <c r="CJ173" s="6" t="e">
        <f t="shared" si="11"/>
        <v>#N/A</v>
      </c>
      <c r="CK173" s="6">
        <f t="shared" si="12"/>
        <v>1</v>
      </c>
      <c r="CL173" s="6">
        <f t="shared" si="219"/>
        <v>1</v>
      </c>
      <c r="CM173" s="6">
        <f t="shared" si="13"/>
        <v>1</v>
      </c>
      <c r="CN173" s="6">
        <f t="shared" si="14"/>
        <v>0</v>
      </c>
      <c r="CO173" s="6">
        <f t="shared" si="15"/>
        <v>1</v>
      </c>
      <c r="CP173" s="6">
        <f t="shared" si="16"/>
        <v>1</v>
      </c>
      <c r="CQ173" s="6">
        <f t="shared" si="220"/>
        <v>1</v>
      </c>
      <c r="CR173" s="81" t="str">
        <f t="shared" si="17"/>
        <v/>
      </c>
      <c r="CS173">
        <f t="shared" si="221"/>
        <v>54</v>
      </c>
      <c r="CT173">
        <f t="shared" si="19"/>
        <v>100</v>
      </c>
      <c r="CU173" t="str">
        <f t="shared" si="222"/>
        <v/>
      </c>
      <c r="CV173" s="81">
        <f t="shared" si="223"/>
        <v>100</v>
      </c>
      <c r="CW173" s="81">
        <f>(CV173/25)^1.5*(Calculator!$BU$4/10000)*CW$5</f>
        <v>20.656847999999979</v>
      </c>
      <c r="CX173" t="str">
        <f t="shared" si="224"/>
        <v>$100</v>
      </c>
    </row>
    <row r="174" spans="2:102" x14ac:dyDescent="0.25">
      <c r="B174" s="115" t="s">
        <v>233</v>
      </c>
      <c r="C174" s="13">
        <v>46232.244444444441</v>
      </c>
      <c r="D174">
        <v>33814</v>
      </c>
      <c r="E174" s="54" t="s">
        <v>237</v>
      </c>
      <c r="F174" s="54" t="s">
        <v>552</v>
      </c>
      <c r="G174" s="54" t="s">
        <v>563</v>
      </c>
      <c r="H174" s="55">
        <v>13.700000000000001</v>
      </c>
      <c r="I174" s="55">
        <v>13.100000000000001</v>
      </c>
      <c r="J174" s="55">
        <v>12.8</v>
      </c>
      <c r="K174" s="54"/>
      <c r="L174" s="56" t="b">
        <v>0</v>
      </c>
      <c r="M174" s="56" t="b">
        <v>0</v>
      </c>
      <c r="N174" s="54">
        <v>1</v>
      </c>
      <c r="O174" s="54" t="s">
        <v>228</v>
      </c>
      <c r="P174" s="54">
        <v>24</v>
      </c>
      <c r="Q174" s="54">
        <v>3</v>
      </c>
      <c r="R174" s="54">
        <v>100</v>
      </c>
      <c r="S174" s="54" t="s">
        <v>554</v>
      </c>
      <c r="T174" s="54" t="s">
        <v>555</v>
      </c>
      <c r="U174" s="54" t="s">
        <v>556</v>
      </c>
      <c r="V174" s="54" t="s">
        <v>557</v>
      </c>
      <c r="W174" s="54" t="b">
        <v>0</v>
      </c>
      <c r="X174" s="54"/>
      <c r="Y174" s="57" t="s">
        <v>2056</v>
      </c>
      <c r="Z174" s="54" t="s">
        <v>2057</v>
      </c>
      <c r="AA174" s="54"/>
      <c r="AB174" s="54" t="s">
        <v>558</v>
      </c>
      <c r="AC174" s="56" t="b">
        <v>1</v>
      </c>
      <c r="AD174" s="56" t="b">
        <v>0</v>
      </c>
      <c r="AE174" s="54" t="s">
        <v>303</v>
      </c>
      <c r="AF174" s="58">
        <v>46231</v>
      </c>
      <c r="AG174" s="62" t="s">
        <v>293</v>
      </c>
      <c r="AH174" s="54">
        <v>0</v>
      </c>
      <c r="AI174" s="54"/>
      <c r="AJ174" s="54"/>
      <c r="AK174" s="54"/>
      <c r="AL174" s="54"/>
      <c r="AM174" s="54">
        <v>2</v>
      </c>
      <c r="AN174" s="54"/>
      <c r="AO174" s="54"/>
      <c r="AP174" s="54"/>
      <c r="AQ174" s="54"/>
      <c r="AR174" s="54"/>
      <c r="AS174" s="54"/>
      <c r="AT174" s="54"/>
      <c r="AU174" s="54"/>
      <c r="AV174" s="54"/>
      <c r="AW174" s="54"/>
      <c r="AX174" s="59"/>
      <c r="AY174" s="59"/>
      <c r="AZ174" s="59"/>
      <c r="BA174" s="59"/>
      <c r="BB174" s="59">
        <v>6.3719999999999999E-2</v>
      </c>
      <c r="BC174" s="60">
        <v>4.0599999999999996</v>
      </c>
      <c r="BD174" s="61">
        <v>6.1196E-2</v>
      </c>
      <c r="BE174" s="62" t="s">
        <v>293</v>
      </c>
      <c r="BF174" s="35">
        <f t="shared" si="211"/>
        <v>4.0600000000000005</v>
      </c>
      <c r="BG174" s="35">
        <f t="shared" si="211"/>
        <v>6.0295000000000001E-2</v>
      </c>
      <c r="BH174" s="35" t="str">
        <f t="shared" si="212"/>
        <v>Med</v>
      </c>
      <c r="BI174" s="110">
        <f t="shared" si="213"/>
        <v>0</v>
      </c>
      <c r="BJ174" s="83">
        <f>VLOOKUP($F174,REP_Info!$D$6:$H$250,5,FALSE)</f>
        <v>0.123</v>
      </c>
      <c r="BK174" s="30">
        <f t="shared" si="214"/>
        <v>13.6135</v>
      </c>
      <c r="BL174" s="30">
        <f t="shared" si="214"/>
        <v>13.007499999999999</v>
      </c>
      <c r="BM174" s="30">
        <f t="shared" si="214"/>
        <v>12.704499999999999</v>
      </c>
      <c r="BN174" s="29">
        <f t="shared" si="214"/>
        <v>12.6035</v>
      </c>
      <c r="BO174" s="85" t="str">
        <f t="shared" si="2"/>
        <v>$$$</v>
      </c>
      <c r="BP174" s="88" t="str">
        <f t="shared" si="215"/>
        <v>$$$</v>
      </c>
      <c r="BQ174" s="88" t="str">
        <f t="shared" si="4"/>
        <v>$$$</v>
      </c>
      <c r="BR174" s="88" t="str">
        <f t="shared" si="5"/>
        <v>$$$</v>
      </c>
      <c r="BS174" s="29" t="e">
        <f t="shared" si="216"/>
        <v>#N/A</v>
      </c>
      <c r="BT174" s="29" t="e">
        <f t="shared" si="216"/>
        <v>#N/A</v>
      </c>
      <c r="BU174" s="29" t="e">
        <f t="shared" si="216"/>
        <v>#N/A</v>
      </c>
      <c r="BV174" s="29" t="e">
        <f t="shared" si="216"/>
        <v>#N/A</v>
      </c>
      <c r="BW174" s="29" t="e">
        <f t="shared" si="216"/>
        <v>#N/A</v>
      </c>
      <c r="BX174" s="29" t="e">
        <f t="shared" si="216"/>
        <v>#N/A</v>
      </c>
      <c r="BY174" s="29" t="e">
        <f t="shared" si="216"/>
        <v>#N/A</v>
      </c>
      <c r="BZ174" s="29" t="e">
        <f t="shared" si="216"/>
        <v>#N/A</v>
      </c>
      <c r="CA174" s="29" t="e">
        <f t="shared" si="216"/>
        <v>#N/A</v>
      </c>
      <c r="CB174" s="29" t="e">
        <f t="shared" si="216"/>
        <v>#N/A</v>
      </c>
      <c r="CC174" s="29" t="e">
        <f t="shared" si="216"/>
        <v>#N/A</v>
      </c>
      <c r="CD174" s="29" t="e">
        <f t="shared" si="216"/>
        <v>#N/A</v>
      </c>
      <c r="CE174" s="6" t="str">
        <f t="shared" si="197"/>
        <v/>
      </c>
      <c r="CF174" s="27" t="e">
        <f>IF(AND(CI174,NOT(AD174)),LOOKUP(CF$5,{0,750,1500},H174:J174),"")</f>
        <v>#N/A</v>
      </c>
      <c r="CG174" s="6" t="str">
        <f t="shared" si="198"/>
        <v/>
      </c>
      <c r="CH174" t="e">
        <f t="shared" si="217"/>
        <v>#N/A</v>
      </c>
      <c r="CI174" t="e">
        <f t="shared" si="218"/>
        <v>#N/A</v>
      </c>
      <c r="CJ174" s="6" t="e">
        <f t="shared" si="11"/>
        <v>#N/A</v>
      </c>
      <c r="CK174" s="6">
        <f t="shared" si="12"/>
        <v>1</v>
      </c>
      <c r="CL174" s="6">
        <f t="shared" si="219"/>
        <v>1</v>
      </c>
      <c r="CM174" s="6">
        <f t="shared" si="13"/>
        <v>1</v>
      </c>
      <c r="CN174" s="6">
        <f t="shared" si="14"/>
        <v>0</v>
      </c>
      <c r="CO174" s="6">
        <f t="shared" si="15"/>
        <v>1</v>
      </c>
      <c r="CP174" s="6">
        <f t="shared" si="16"/>
        <v>1</v>
      </c>
      <c r="CQ174" s="6">
        <f t="shared" si="220"/>
        <v>1</v>
      </c>
      <c r="CR174" s="81" t="str">
        <f t="shared" si="17"/>
        <v/>
      </c>
      <c r="CS174">
        <f t="shared" si="221"/>
        <v>54</v>
      </c>
      <c r="CT174">
        <f t="shared" si="19"/>
        <v>100</v>
      </c>
      <c r="CU174" t="str">
        <f t="shared" si="222"/>
        <v/>
      </c>
      <c r="CV174" s="81">
        <f t="shared" si="223"/>
        <v>100</v>
      </c>
      <c r="CW174" s="81">
        <f>(CV174/25)^1.5*(Calculator!$BU$4/10000)*CW$5</f>
        <v>20.656847999999979</v>
      </c>
      <c r="CX174" t="str">
        <f t="shared" si="224"/>
        <v>$100</v>
      </c>
    </row>
    <row r="175" spans="2:102" x14ac:dyDescent="0.25">
      <c r="B175" s="115" t="s">
        <v>233</v>
      </c>
      <c r="C175" s="13">
        <v>46232.244444444441</v>
      </c>
      <c r="D175">
        <v>33853</v>
      </c>
      <c r="E175" s="54" t="s">
        <v>235</v>
      </c>
      <c r="F175" s="54" t="s">
        <v>552</v>
      </c>
      <c r="G175" s="54" t="s">
        <v>564</v>
      </c>
      <c r="H175" s="55">
        <v>12.6</v>
      </c>
      <c r="I175" s="55">
        <v>11.899999999999999</v>
      </c>
      <c r="J175" s="55">
        <v>11.5</v>
      </c>
      <c r="K175" s="54"/>
      <c r="L175" s="56" t="b">
        <v>0</v>
      </c>
      <c r="M175" s="56" t="b">
        <v>0</v>
      </c>
      <c r="N175" s="54">
        <v>1</v>
      </c>
      <c r="O175" s="54" t="s">
        <v>228</v>
      </c>
      <c r="P175" s="54">
        <v>24</v>
      </c>
      <c r="Q175" s="54">
        <v>6</v>
      </c>
      <c r="R175" s="54">
        <v>150</v>
      </c>
      <c r="S175" s="54" t="s">
        <v>554</v>
      </c>
      <c r="T175" s="54" t="s">
        <v>555</v>
      </c>
      <c r="U175" s="54" t="s">
        <v>556</v>
      </c>
      <c r="V175" s="54" t="s">
        <v>557</v>
      </c>
      <c r="W175" s="54" t="b">
        <v>0</v>
      </c>
      <c r="X175" s="54"/>
      <c r="Y175" s="57" t="s">
        <v>2058</v>
      </c>
      <c r="Z175" s="54" t="s">
        <v>2059</v>
      </c>
      <c r="AA175" s="54"/>
      <c r="AB175" s="54" t="s">
        <v>558</v>
      </c>
      <c r="AC175" s="56" t="b">
        <v>1</v>
      </c>
      <c r="AD175" s="56" t="b">
        <v>0</v>
      </c>
      <c r="AE175" s="54" t="s">
        <v>303</v>
      </c>
      <c r="AF175" s="58">
        <v>46231</v>
      </c>
      <c r="AG175" s="62" t="s">
        <v>293</v>
      </c>
      <c r="AH175" s="54">
        <v>0</v>
      </c>
      <c r="AI175" s="54"/>
      <c r="AJ175" s="54"/>
      <c r="AK175" s="54"/>
      <c r="AL175" s="54"/>
      <c r="AM175" s="54">
        <v>2</v>
      </c>
      <c r="AN175" s="54"/>
      <c r="AO175" s="54"/>
      <c r="AP175" s="54"/>
      <c r="AQ175" s="54"/>
      <c r="AR175" s="54"/>
      <c r="AS175" s="54"/>
      <c r="AT175" s="54"/>
      <c r="AU175" s="54"/>
      <c r="AV175" s="54"/>
      <c r="AW175" s="54"/>
      <c r="AX175" s="59"/>
      <c r="AY175" s="59"/>
      <c r="AZ175" s="59"/>
      <c r="BA175" s="59"/>
      <c r="BB175" s="59">
        <v>6.0380000000000003E-2</v>
      </c>
      <c r="BC175" s="60">
        <v>4.9000000000000004</v>
      </c>
      <c r="BD175" s="61">
        <v>5.1461E-2</v>
      </c>
      <c r="BE175" s="62" t="s">
        <v>293</v>
      </c>
      <c r="BF175" s="35">
        <f t="shared" ref="BF175:BG180" si="225">IF($E175=$E$4,BF$4,IF($E175=$E$5,BF$5,""))</f>
        <v>4.9000000000000004</v>
      </c>
      <c r="BG175" s="35">
        <f t="shared" si="225"/>
        <v>5.1461E-2</v>
      </c>
      <c r="BH175" s="35" t="str">
        <f t="shared" ref="BH175:BH180" si="226">IF(ISTEXT(BE175),IF(AND(AV175=0,SUM(AN175:AQ175)=0),IF(AM175&lt;=0,IF(BE175="Y","Low","Flat"),"Med"),"High"),"?")</f>
        <v>Med</v>
      </c>
      <c r="BI175" s="110">
        <f t="shared" ref="BI175:BI180" si="227">IF(ISNUMBER(AH175),0*BI$5*SIN((EDATE($A$3,$Q175)-DATE(YEAR(EDATE($A$3,$Q175)),1,0)-BI$4)*2*PI()/365),"")</f>
        <v>0</v>
      </c>
      <c r="BJ175" s="83">
        <f>VLOOKUP($F175,REP_Info!$D$6:$H$250,5,FALSE)</f>
        <v>0.123</v>
      </c>
      <c r="BK175" s="30">
        <f t="shared" ref="BK175:BN180" si="228">IF(BK$7&gt;0,(LOOKUP(BK$7,$AH175:$AL175,$AM175:$AQ175)+IF($AG175="Y",SUMPRODUCT($AX175:$BB175-$AW175:$BA175,BK$7-$AR175:$AV175,N(BK$7&gt;$AR175:$AV175)),BK$7*LOOKUP(BK$7,$AR175:$AV175,$AX175:$BB175))+IF($BE175="Y",$BF175,$BC175)+BK$7*IF($BE175="Y",$BG175,$BD175))*100/BK$7,"")</f>
        <v>12.564099999999998</v>
      </c>
      <c r="BL175" s="30">
        <f t="shared" si="228"/>
        <v>11.8741</v>
      </c>
      <c r="BM175" s="30">
        <f t="shared" si="228"/>
        <v>11.5291</v>
      </c>
      <c r="BN175" s="29">
        <f t="shared" si="228"/>
        <v>11.414100000000001</v>
      </c>
      <c r="BO175" s="85" t="str">
        <f t="shared" si="2"/>
        <v>$$$</v>
      </c>
      <c r="BP175" s="88" t="str">
        <f t="shared" ref="BP175:BP180" si="229">IFERROR(BO175*100/BO$5,"$$$")</f>
        <v>$$$</v>
      </c>
      <c r="BQ175" s="88" t="str">
        <f t="shared" si="4"/>
        <v>$$$</v>
      </c>
      <c r="BR175" s="88" t="str">
        <f t="shared" si="5"/>
        <v>$$$</v>
      </c>
      <c r="BS175" s="29" t="e">
        <f t="shared" ref="BS175:CD180" si="230">IF($CI175,IF(BS$7&gt;0,IF(BS$4&gt;$Q175,$BF175+BS$7*(BS$5+$BG175+$BI175),LOOKUP(BS$7,$AH175:$AL175,$AM175:$AQ175)+IF($AG175="Y",SUMPRODUCT($AX175:$BB175-$AW175:$BA175,BS$7-$AR175:$AV175,N(BS$7&gt;$AR175:$AV175)),BS$7*LOOKUP(BS$7,$AR175:$AV175,$AX175:$BB175))+IF($BE175="Y",$BF175,$BC175)+BS$7*IF($BE175="Y",$BG175,$BD175))*100/BS$7,""),NA())</f>
        <v>#N/A</v>
      </c>
      <c r="BT175" s="29" t="e">
        <f t="shared" si="230"/>
        <v>#N/A</v>
      </c>
      <c r="BU175" s="29" t="e">
        <f t="shared" si="230"/>
        <v>#N/A</v>
      </c>
      <c r="BV175" s="29" t="e">
        <f t="shared" si="230"/>
        <v>#N/A</v>
      </c>
      <c r="BW175" s="29" t="e">
        <f t="shared" si="230"/>
        <v>#N/A</v>
      </c>
      <c r="BX175" s="29" t="e">
        <f t="shared" si="230"/>
        <v>#N/A</v>
      </c>
      <c r="BY175" s="29" t="e">
        <f t="shared" si="230"/>
        <v>#N/A</v>
      </c>
      <c r="BZ175" s="29" t="e">
        <f t="shared" si="230"/>
        <v>#N/A</v>
      </c>
      <c r="CA175" s="29" t="e">
        <f t="shared" si="230"/>
        <v>#N/A</v>
      </c>
      <c r="CB175" s="29" t="e">
        <f t="shared" si="230"/>
        <v>#N/A</v>
      </c>
      <c r="CC175" s="29" t="e">
        <f t="shared" si="230"/>
        <v>#N/A</v>
      </c>
      <c r="CD175" s="29" t="e">
        <f t="shared" si="230"/>
        <v>#N/A</v>
      </c>
      <c r="CE175" s="6" t="str">
        <f t="shared" si="197"/>
        <v/>
      </c>
      <c r="CF175" s="27" t="e">
        <f>IF(AND(CI175,NOT(AD175)),LOOKUP(CF$5,{0,750,1500},H175:J175),"")</f>
        <v>#N/A</v>
      </c>
      <c r="CG175" s="6" t="str">
        <f t="shared" si="198"/>
        <v/>
      </c>
      <c r="CH175" t="e">
        <f t="shared" ref="CH175:CH180" si="231">IF(CI175,IF(ISNUMBER(BO175),BO175,100000)+CV175/10000+IF(ISNUMBER(BJ175),BJ175,2)/10000-P175/100000+ROW()/10000000,"")</f>
        <v>#N/A</v>
      </c>
      <c r="CI175" t="e">
        <f t="shared" ref="CI175:CI180" si="232">PRODUCT(CJ175:CQ175)</f>
        <v>#N/A</v>
      </c>
      <c r="CJ175" s="6" t="e">
        <f t="shared" si="11"/>
        <v>#N/A</v>
      </c>
      <c r="CK175" s="6">
        <f t="shared" si="12"/>
        <v>1</v>
      </c>
      <c r="CL175" s="6">
        <f t="shared" ref="CL175:CL180" si="233">IFERROR(--OR(ISBLANK(CL$5),$BJ175="",AND(ISNUMBER($BJ175),$BJ175&lt;=CL$5)),1)</f>
        <v>1</v>
      </c>
      <c r="CM175" s="6">
        <f t="shared" si="13"/>
        <v>1</v>
      </c>
      <c r="CN175" s="6">
        <f t="shared" si="14"/>
        <v>0</v>
      </c>
      <c r="CO175" s="6">
        <f t="shared" si="15"/>
        <v>1</v>
      </c>
      <c r="CP175" s="6">
        <f t="shared" si="16"/>
        <v>1</v>
      </c>
      <c r="CQ175" s="6">
        <f t="shared" ref="CQ175:CQ180" si="234">IF(CQ$5="Any",1,IF(AND(CQ$5="Med",AV175=0,SUM(AN175:AQ175)=0),1,IF(AND(CQ$5="Low",AV175=0,SUM(AN175:AQ175)=0,AM175=0),1,IF(AND(CQ$5="Flat",AV175=0,SUM(AN175:AQ175)=0,AM175=0,IFERROR(NOT(BE175="Y"),0)),1,0))))</f>
        <v>1</v>
      </c>
      <c r="CR175" s="81" t="str">
        <f t="shared" si="17"/>
        <v/>
      </c>
      <c r="CS175">
        <f t="shared" ref="CS175:CS180" si="235">CS$5*(12/(MIN(12,Q175))-1)</f>
        <v>18</v>
      </c>
      <c r="CT175">
        <f t="shared" si="19"/>
        <v>150</v>
      </c>
      <c r="CU175" t="str">
        <f t="shared" ref="CU175:CU180" si="236">IF(AND(ISERR(FIND("remain",$R175)),ISERR(FIND("left",$R175))),"","r")&amp;IF(ISERR(FIND("mon",$R175)),"","m")</f>
        <v/>
      </c>
      <c r="CV175" s="81">
        <f t="shared" ref="CV175:CV180" si="237">CT175*IF(CU175="",1,Q175)</f>
        <v>150</v>
      </c>
      <c r="CW175" s="81">
        <f>(CV175/25)^1.5*(Calculator!$BU$4/10000)*CW$5</f>
        <v>37.949052970673385</v>
      </c>
      <c r="CX175" t="str">
        <f t="shared" ref="CX175:CX180" si="238">"$"&amp;IF(LEFT(CU175,1)="r",CT175&amp;"/"&amp;CU175,CV175)</f>
        <v>$150</v>
      </c>
    </row>
    <row r="176" spans="2:102" x14ac:dyDescent="0.25">
      <c r="B176" s="115" t="s">
        <v>233</v>
      </c>
      <c r="C176" s="13">
        <v>46232.244444444441</v>
      </c>
      <c r="D176">
        <v>33854</v>
      </c>
      <c r="E176" s="54" t="s">
        <v>237</v>
      </c>
      <c r="F176" s="54" t="s">
        <v>552</v>
      </c>
      <c r="G176" s="54" t="s">
        <v>564</v>
      </c>
      <c r="H176" s="55">
        <v>13.3</v>
      </c>
      <c r="I176" s="55">
        <v>12.7</v>
      </c>
      <c r="J176" s="55">
        <v>12.4</v>
      </c>
      <c r="K176" s="54"/>
      <c r="L176" s="56" t="b">
        <v>0</v>
      </c>
      <c r="M176" s="56" t="b">
        <v>0</v>
      </c>
      <c r="N176" s="54">
        <v>1</v>
      </c>
      <c r="O176" s="54" t="s">
        <v>228</v>
      </c>
      <c r="P176" s="54">
        <v>24</v>
      </c>
      <c r="Q176" s="54">
        <v>6</v>
      </c>
      <c r="R176" s="54">
        <v>150</v>
      </c>
      <c r="S176" s="54" t="s">
        <v>554</v>
      </c>
      <c r="T176" s="54" t="s">
        <v>555</v>
      </c>
      <c r="U176" s="54" t="s">
        <v>556</v>
      </c>
      <c r="V176" s="54" t="s">
        <v>557</v>
      </c>
      <c r="W176" s="54" t="b">
        <v>0</v>
      </c>
      <c r="X176" s="54"/>
      <c r="Y176" s="57" t="s">
        <v>2060</v>
      </c>
      <c r="Z176" s="54" t="s">
        <v>2061</v>
      </c>
      <c r="AA176" s="54"/>
      <c r="AB176" s="54" t="s">
        <v>558</v>
      </c>
      <c r="AC176" s="56" t="b">
        <v>1</v>
      </c>
      <c r="AD176" s="56" t="b">
        <v>0</v>
      </c>
      <c r="AE176" s="54" t="s">
        <v>303</v>
      </c>
      <c r="AF176" s="58">
        <v>46231</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5.9630000000000002E-2</v>
      </c>
      <c r="BC176" s="60">
        <v>4.0599999999999996</v>
      </c>
      <c r="BD176" s="61">
        <v>6.1196E-2</v>
      </c>
      <c r="BE176" s="62" t="s">
        <v>293</v>
      </c>
      <c r="BF176" s="35">
        <f t="shared" si="225"/>
        <v>4.0600000000000005</v>
      </c>
      <c r="BG176" s="35">
        <f t="shared" si="225"/>
        <v>6.0295000000000001E-2</v>
      </c>
      <c r="BH176" s="35" t="str">
        <f t="shared" si="226"/>
        <v>Med</v>
      </c>
      <c r="BI176" s="110">
        <f t="shared" si="227"/>
        <v>0</v>
      </c>
      <c r="BJ176" s="83">
        <f>VLOOKUP($F176,REP_Info!$D$6:$H$250,5,FALSE)</f>
        <v>0.123</v>
      </c>
      <c r="BK176" s="30">
        <f t="shared" si="228"/>
        <v>13.204500000000001</v>
      </c>
      <c r="BL176" s="30">
        <f t="shared" si="228"/>
        <v>12.5985</v>
      </c>
      <c r="BM176" s="30">
        <f t="shared" si="228"/>
        <v>12.295500000000002</v>
      </c>
      <c r="BN176" s="29">
        <f t="shared" si="228"/>
        <v>12.1945</v>
      </c>
      <c r="BO176" s="85" t="str">
        <f t="shared" si="2"/>
        <v>$$$</v>
      </c>
      <c r="BP176" s="88" t="str">
        <f t="shared" si="229"/>
        <v>$$$</v>
      </c>
      <c r="BQ176" s="88" t="str">
        <f t="shared" si="4"/>
        <v>$$$</v>
      </c>
      <c r="BR176" s="88" t="str">
        <f t="shared" si="5"/>
        <v>$$$</v>
      </c>
      <c r="BS176" s="29" t="e">
        <f t="shared" si="230"/>
        <v>#N/A</v>
      </c>
      <c r="BT176" s="29" t="e">
        <f t="shared" si="230"/>
        <v>#N/A</v>
      </c>
      <c r="BU176" s="29" t="e">
        <f t="shared" si="230"/>
        <v>#N/A</v>
      </c>
      <c r="BV176" s="29" t="e">
        <f t="shared" si="230"/>
        <v>#N/A</v>
      </c>
      <c r="BW176" s="29" t="e">
        <f t="shared" si="230"/>
        <v>#N/A</v>
      </c>
      <c r="BX176" s="29" t="e">
        <f t="shared" si="230"/>
        <v>#N/A</v>
      </c>
      <c r="BY176" s="29" t="e">
        <f t="shared" si="230"/>
        <v>#N/A</v>
      </c>
      <c r="BZ176" s="29" t="e">
        <f t="shared" si="230"/>
        <v>#N/A</v>
      </c>
      <c r="CA176" s="29" t="e">
        <f t="shared" si="230"/>
        <v>#N/A</v>
      </c>
      <c r="CB176" s="29" t="e">
        <f t="shared" si="230"/>
        <v>#N/A</v>
      </c>
      <c r="CC176" s="29" t="e">
        <f t="shared" si="230"/>
        <v>#N/A</v>
      </c>
      <c r="CD176" s="29" t="e">
        <f t="shared" si="230"/>
        <v>#N/A</v>
      </c>
      <c r="CE176" s="6" t="str">
        <f t="shared" si="197"/>
        <v/>
      </c>
      <c r="CF176" s="27" t="e">
        <f>IF(AND(CI176,NOT(AD176)),LOOKUP(CF$5,{0,750,1500},H176:J176),"")</f>
        <v>#N/A</v>
      </c>
      <c r="CG176" s="6" t="str">
        <f t="shared" si="198"/>
        <v/>
      </c>
      <c r="CH176" t="e">
        <f t="shared" si="231"/>
        <v>#N/A</v>
      </c>
      <c r="CI176" t="e">
        <f t="shared" si="232"/>
        <v>#N/A</v>
      </c>
      <c r="CJ176" s="6" t="e">
        <f t="shared" si="11"/>
        <v>#N/A</v>
      </c>
      <c r="CK176" s="6">
        <f t="shared" si="12"/>
        <v>1</v>
      </c>
      <c r="CL176" s="6">
        <f t="shared" si="233"/>
        <v>1</v>
      </c>
      <c r="CM176" s="6">
        <f t="shared" si="13"/>
        <v>1</v>
      </c>
      <c r="CN176" s="6">
        <f t="shared" si="14"/>
        <v>0</v>
      </c>
      <c r="CO176" s="6">
        <f t="shared" si="15"/>
        <v>1</v>
      </c>
      <c r="CP176" s="6">
        <f t="shared" si="16"/>
        <v>1</v>
      </c>
      <c r="CQ176" s="6">
        <f t="shared" si="234"/>
        <v>1</v>
      </c>
      <c r="CR176" s="81" t="str">
        <f t="shared" si="17"/>
        <v/>
      </c>
      <c r="CS176">
        <f t="shared" si="235"/>
        <v>18</v>
      </c>
      <c r="CT176">
        <f t="shared" si="19"/>
        <v>150</v>
      </c>
      <c r="CU176" t="str">
        <f t="shared" si="236"/>
        <v/>
      </c>
      <c r="CV176" s="81">
        <f t="shared" si="237"/>
        <v>150</v>
      </c>
      <c r="CW176" s="81">
        <f>(CV176/25)^1.5*(Calculator!$BU$4/10000)*CW$5</f>
        <v>37.949052970673385</v>
      </c>
      <c r="CX176" t="str">
        <f t="shared" si="238"/>
        <v>$150</v>
      </c>
    </row>
    <row r="177" spans="2:102" x14ac:dyDescent="0.25">
      <c r="B177" s="115" t="s">
        <v>233</v>
      </c>
      <c r="C177" s="13">
        <v>46232.244444444441</v>
      </c>
      <c r="D177">
        <v>33933</v>
      </c>
      <c r="E177" s="54" t="s">
        <v>235</v>
      </c>
      <c r="F177" s="54" t="s">
        <v>552</v>
      </c>
      <c r="G177" s="54" t="s">
        <v>565</v>
      </c>
      <c r="H177" s="55">
        <v>12.4</v>
      </c>
      <c r="I177" s="55">
        <v>11.700000000000001</v>
      </c>
      <c r="J177" s="55">
        <v>11.3</v>
      </c>
      <c r="K177" s="54"/>
      <c r="L177" s="56" t="b">
        <v>0</v>
      </c>
      <c r="M177" s="56" t="b">
        <v>0</v>
      </c>
      <c r="N177" s="54">
        <v>1</v>
      </c>
      <c r="O177" s="54" t="s">
        <v>228</v>
      </c>
      <c r="P177" s="54">
        <v>24</v>
      </c>
      <c r="Q177" s="54">
        <v>12</v>
      </c>
      <c r="R177" s="54">
        <v>200</v>
      </c>
      <c r="S177" s="54" t="s">
        <v>554</v>
      </c>
      <c r="T177" s="54" t="s">
        <v>555</v>
      </c>
      <c r="U177" s="54" t="s">
        <v>556</v>
      </c>
      <c r="V177" s="54" t="s">
        <v>557</v>
      </c>
      <c r="W177" s="54" t="b">
        <v>0</v>
      </c>
      <c r="X177" s="54"/>
      <c r="Y177" s="57" t="s">
        <v>2062</v>
      </c>
      <c r="Z177" s="54" t="s">
        <v>2063</v>
      </c>
      <c r="AA177" s="54"/>
      <c r="AB177" s="54" t="s">
        <v>558</v>
      </c>
      <c r="AC177" s="56" t="b">
        <v>1</v>
      </c>
      <c r="AD177" s="56" t="b">
        <v>0</v>
      </c>
      <c r="AE177" s="54" t="s">
        <v>303</v>
      </c>
      <c r="AF177" s="58">
        <v>46231</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5.8500000000000003E-2</v>
      </c>
      <c r="BC177" s="60">
        <v>4.9000000000000004</v>
      </c>
      <c r="BD177" s="61">
        <v>5.1461E-2</v>
      </c>
      <c r="BE177" s="62" t="s">
        <v>293</v>
      </c>
      <c r="BF177" s="35">
        <f t="shared" si="225"/>
        <v>4.9000000000000004</v>
      </c>
      <c r="BG177" s="35">
        <f t="shared" si="225"/>
        <v>5.1461E-2</v>
      </c>
      <c r="BH177" s="35" t="str">
        <f t="shared" si="226"/>
        <v>Med</v>
      </c>
      <c r="BI177" s="110">
        <f t="shared" si="227"/>
        <v>0</v>
      </c>
      <c r="BJ177" s="83">
        <f>VLOOKUP($F177,REP_Info!$D$6:$H$250,5,FALSE)</f>
        <v>0.123</v>
      </c>
      <c r="BK177" s="30">
        <f t="shared" si="228"/>
        <v>12.376100000000001</v>
      </c>
      <c r="BL177" s="30">
        <f t="shared" si="228"/>
        <v>11.6861</v>
      </c>
      <c r="BM177" s="30">
        <f t="shared" si="228"/>
        <v>11.341100000000001</v>
      </c>
      <c r="BN177" s="29">
        <f t="shared" si="228"/>
        <v>11.226100000000001</v>
      </c>
      <c r="BO177" s="85" t="str">
        <f t="shared" ref="BO177:BO180" si="239">IFERROR(SUMPRODUCT($BS$7:$CD$7,$BS177:$CD177)/100,"$$$")</f>
        <v>$$$</v>
      </c>
      <c r="BP177" s="88" t="str">
        <f t="shared" si="229"/>
        <v>$$$</v>
      </c>
      <c r="BQ177" s="88" t="str">
        <f t="shared" si="4"/>
        <v>$$$</v>
      </c>
      <c r="BR177" s="88" t="str">
        <f t="shared" si="5"/>
        <v>$$$</v>
      </c>
      <c r="BS177" s="29" t="e">
        <f t="shared" si="230"/>
        <v>#N/A</v>
      </c>
      <c r="BT177" s="29" t="e">
        <f t="shared" si="230"/>
        <v>#N/A</v>
      </c>
      <c r="BU177" s="29" t="e">
        <f t="shared" si="230"/>
        <v>#N/A</v>
      </c>
      <c r="BV177" s="29" t="e">
        <f t="shared" si="230"/>
        <v>#N/A</v>
      </c>
      <c r="BW177" s="29" t="e">
        <f t="shared" si="230"/>
        <v>#N/A</v>
      </c>
      <c r="BX177" s="29" t="e">
        <f t="shared" si="230"/>
        <v>#N/A</v>
      </c>
      <c r="BY177" s="29" t="e">
        <f t="shared" si="230"/>
        <v>#N/A</v>
      </c>
      <c r="BZ177" s="29" t="e">
        <f t="shared" si="230"/>
        <v>#N/A</v>
      </c>
      <c r="CA177" s="29" t="e">
        <f t="shared" si="230"/>
        <v>#N/A</v>
      </c>
      <c r="CB177" s="29" t="e">
        <f t="shared" si="230"/>
        <v>#N/A</v>
      </c>
      <c r="CC177" s="29" t="e">
        <f t="shared" si="230"/>
        <v>#N/A</v>
      </c>
      <c r="CD177" s="29" t="e">
        <f t="shared" si="230"/>
        <v>#N/A</v>
      </c>
      <c r="CE177" s="6" t="str">
        <f t="shared" si="197"/>
        <v/>
      </c>
      <c r="CF177" s="27" t="e">
        <f>IF(AND(CI177,NOT(AD177)),LOOKUP(CF$5,{0,750,1500},H177:J177),"")</f>
        <v>#N/A</v>
      </c>
      <c r="CG177" s="6" t="str">
        <f t="shared" si="198"/>
        <v/>
      </c>
      <c r="CH177" t="e">
        <f t="shared" si="231"/>
        <v>#N/A</v>
      </c>
      <c r="CI177" t="e">
        <f t="shared" si="232"/>
        <v>#N/A</v>
      </c>
      <c r="CJ177" s="6" t="e">
        <f t="shared" ref="CJ177:CJ180" si="240">IF($E177=CJ$5,1,0)</f>
        <v>#N/A</v>
      </c>
      <c r="CK177" s="6">
        <f t="shared" ref="CK177:CK180" si="241">IF(CK$5="[Any]",1,IF($F177=CK$5,1,0))</f>
        <v>1</v>
      </c>
      <c r="CL177" s="6">
        <f t="shared" si="233"/>
        <v>1</v>
      </c>
      <c r="CM177" s="6">
        <f t="shared" ref="CM177:CM180" si="242">IF($O177="Fixed",1,0)</f>
        <v>1</v>
      </c>
      <c r="CN177" s="6">
        <f t="shared" ref="CN177:CN180" si="243">IF($Q177&gt;=CN$5,1,0)</f>
        <v>1</v>
      </c>
      <c r="CO177" s="6">
        <f t="shared" ref="CO177:CO180" si="244">IF($Q177&lt;=CO$5,1,0)</f>
        <v>1</v>
      </c>
      <c r="CP177" s="6">
        <f t="shared" ref="CP177:CP180" si="245">IF($P177&gt;=CP$5,1,0)</f>
        <v>1</v>
      </c>
      <c r="CQ177" s="6">
        <f t="shared" si="234"/>
        <v>1</v>
      </c>
      <c r="CR177" s="81" t="str">
        <f t="shared" ref="CR177:CR180" si="246">IF(ISNUMBER($CH177),$CH177+$CS177+$CW177,"")</f>
        <v/>
      </c>
      <c r="CS177">
        <f t="shared" si="235"/>
        <v>0</v>
      </c>
      <c r="CT177">
        <f t="shared" si="19"/>
        <v>200</v>
      </c>
      <c r="CU177" t="str">
        <f t="shared" si="236"/>
        <v/>
      </c>
      <c r="CV177" s="81">
        <f t="shared" si="237"/>
        <v>200</v>
      </c>
      <c r="CW177" s="81">
        <f>(CV177/25)^1.5*(Calculator!$BU$4/10000)*CW$5</f>
        <v>58.426389194959008</v>
      </c>
      <c r="CX177" t="str">
        <f t="shared" si="238"/>
        <v>$200</v>
      </c>
    </row>
    <row r="178" spans="2:102" x14ac:dyDescent="0.25">
      <c r="B178" s="115" t="s">
        <v>233</v>
      </c>
      <c r="C178" s="13">
        <v>46232.244444444441</v>
      </c>
      <c r="D178">
        <v>33934</v>
      </c>
      <c r="E178" s="54" t="s">
        <v>237</v>
      </c>
      <c r="F178" s="54" t="s">
        <v>552</v>
      </c>
      <c r="G178" s="54" t="s">
        <v>565</v>
      </c>
      <c r="H178" s="55">
        <v>13.5</v>
      </c>
      <c r="I178" s="55">
        <v>12.9</v>
      </c>
      <c r="J178" s="55">
        <v>12.5</v>
      </c>
      <c r="K178" s="54"/>
      <c r="L178" s="56" t="b">
        <v>0</v>
      </c>
      <c r="M178" s="56" t="b">
        <v>0</v>
      </c>
      <c r="N178" s="54">
        <v>1</v>
      </c>
      <c r="O178" s="54" t="s">
        <v>228</v>
      </c>
      <c r="P178" s="54">
        <v>24</v>
      </c>
      <c r="Q178" s="54">
        <v>12</v>
      </c>
      <c r="R178" s="54">
        <v>200</v>
      </c>
      <c r="S178" s="54" t="s">
        <v>554</v>
      </c>
      <c r="T178" s="54" t="s">
        <v>555</v>
      </c>
      <c r="U178" s="54" t="s">
        <v>556</v>
      </c>
      <c r="V178" s="54" t="s">
        <v>557</v>
      </c>
      <c r="W178" s="54" t="b">
        <v>0</v>
      </c>
      <c r="X178" s="54"/>
      <c r="Y178" s="57" t="s">
        <v>2064</v>
      </c>
      <c r="Z178" s="54" t="s">
        <v>2065</v>
      </c>
      <c r="AA178" s="54"/>
      <c r="AB178" s="54" t="s">
        <v>558</v>
      </c>
      <c r="AC178" s="56" t="b">
        <v>1</v>
      </c>
      <c r="AD178" s="56" t="b">
        <v>0</v>
      </c>
      <c r="AE178" s="54" t="s">
        <v>303</v>
      </c>
      <c r="AF178" s="58">
        <v>46231</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6.1260000000000002E-2</v>
      </c>
      <c r="BC178" s="60">
        <v>4.0599999999999996</v>
      </c>
      <c r="BD178" s="61">
        <v>6.1196E-2</v>
      </c>
      <c r="BE178" s="62" t="s">
        <v>293</v>
      </c>
      <c r="BF178" s="35">
        <f t="shared" si="225"/>
        <v>4.0600000000000005</v>
      </c>
      <c r="BG178" s="35">
        <f t="shared" si="225"/>
        <v>6.0295000000000001E-2</v>
      </c>
      <c r="BH178" s="35" t="str">
        <f t="shared" si="226"/>
        <v>Med</v>
      </c>
      <c r="BI178" s="110">
        <f t="shared" si="227"/>
        <v>0</v>
      </c>
      <c r="BJ178" s="83">
        <f>VLOOKUP($F178,REP_Info!$D$6:$H$250,5,FALSE)</f>
        <v>0.123</v>
      </c>
      <c r="BK178" s="30">
        <f t="shared" si="228"/>
        <v>13.367500000000001</v>
      </c>
      <c r="BL178" s="30">
        <f t="shared" si="228"/>
        <v>12.7615</v>
      </c>
      <c r="BM178" s="30">
        <f t="shared" si="228"/>
        <v>12.458500000000001</v>
      </c>
      <c r="BN178" s="29">
        <f t="shared" si="228"/>
        <v>12.3575</v>
      </c>
      <c r="BO178" s="85" t="str">
        <f t="shared" si="239"/>
        <v>$$$</v>
      </c>
      <c r="BP178" s="88" t="str">
        <f t="shared" si="229"/>
        <v>$$$</v>
      </c>
      <c r="BQ178" s="88" t="str">
        <f t="shared" si="4"/>
        <v>$$$</v>
      </c>
      <c r="BR178" s="88" t="str">
        <f t="shared" si="5"/>
        <v>$$$</v>
      </c>
      <c r="BS178" s="29" t="e">
        <f t="shared" si="230"/>
        <v>#N/A</v>
      </c>
      <c r="BT178" s="29" t="e">
        <f t="shared" si="230"/>
        <v>#N/A</v>
      </c>
      <c r="BU178" s="29" t="e">
        <f t="shared" si="230"/>
        <v>#N/A</v>
      </c>
      <c r="BV178" s="29" t="e">
        <f t="shared" si="230"/>
        <v>#N/A</v>
      </c>
      <c r="BW178" s="29" t="e">
        <f t="shared" si="230"/>
        <v>#N/A</v>
      </c>
      <c r="BX178" s="29" t="e">
        <f t="shared" si="230"/>
        <v>#N/A</v>
      </c>
      <c r="BY178" s="29" t="e">
        <f t="shared" si="230"/>
        <v>#N/A</v>
      </c>
      <c r="BZ178" s="29" t="e">
        <f t="shared" si="230"/>
        <v>#N/A</v>
      </c>
      <c r="CA178" s="29" t="e">
        <f t="shared" si="230"/>
        <v>#N/A</v>
      </c>
      <c r="CB178" s="29" t="e">
        <f t="shared" si="230"/>
        <v>#N/A</v>
      </c>
      <c r="CC178" s="29" t="e">
        <f t="shared" si="230"/>
        <v>#N/A</v>
      </c>
      <c r="CD178" s="29" t="e">
        <f t="shared" si="230"/>
        <v>#N/A</v>
      </c>
      <c r="CE178" s="6" t="str">
        <f t="shared" si="197"/>
        <v/>
      </c>
      <c r="CF178" s="27" t="e">
        <f>IF(AND(CI178,NOT(AD178)),LOOKUP(CF$5,{0,750,1500},H178:J178),"")</f>
        <v>#N/A</v>
      </c>
      <c r="CG178" s="6" t="str">
        <f t="shared" si="198"/>
        <v/>
      </c>
      <c r="CH178" t="e">
        <f t="shared" si="231"/>
        <v>#N/A</v>
      </c>
      <c r="CI178" t="e">
        <f t="shared" si="232"/>
        <v>#N/A</v>
      </c>
      <c r="CJ178" s="6" t="e">
        <f t="shared" si="240"/>
        <v>#N/A</v>
      </c>
      <c r="CK178" s="6">
        <f t="shared" si="241"/>
        <v>1</v>
      </c>
      <c r="CL178" s="6">
        <f t="shared" si="233"/>
        <v>1</v>
      </c>
      <c r="CM178" s="6">
        <f t="shared" si="242"/>
        <v>1</v>
      </c>
      <c r="CN178" s="6">
        <f t="shared" si="243"/>
        <v>1</v>
      </c>
      <c r="CO178" s="6">
        <f t="shared" si="244"/>
        <v>1</v>
      </c>
      <c r="CP178" s="6">
        <f t="shared" si="245"/>
        <v>1</v>
      </c>
      <c r="CQ178" s="6">
        <f t="shared" si="234"/>
        <v>1</v>
      </c>
      <c r="CR178" s="81" t="str">
        <f t="shared" si="246"/>
        <v/>
      </c>
      <c r="CS178">
        <f t="shared" si="235"/>
        <v>0</v>
      </c>
      <c r="CT178">
        <f t="shared" si="19"/>
        <v>200</v>
      </c>
      <c r="CU178" t="str">
        <f t="shared" si="236"/>
        <v/>
      </c>
      <c r="CV178" s="81">
        <f t="shared" si="237"/>
        <v>200</v>
      </c>
      <c r="CW178" s="81">
        <f>(CV178/25)^1.5*(Calculator!$BU$4/10000)*CW$5</f>
        <v>58.426389194959008</v>
      </c>
      <c r="CX178" t="str">
        <f t="shared" si="238"/>
        <v>$200</v>
      </c>
    </row>
    <row r="179" spans="2:102" x14ac:dyDescent="0.25">
      <c r="B179" s="115" t="s">
        <v>233</v>
      </c>
      <c r="C179" s="13">
        <v>46232.244444444441</v>
      </c>
      <c r="D179">
        <v>34024</v>
      </c>
      <c r="E179" s="54" t="s">
        <v>235</v>
      </c>
      <c r="F179" s="54" t="s">
        <v>552</v>
      </c>
      <c r="G179" s="54" t="s">
        <v>566</v>
      </c>
      <c r="H179" s="55">
        <v>13.100000000000001</v>
      </c>
      <c r="I179" s="55">
        <v>12.4</v>
      </c>
      <c r="J179" s="55">
        <v>12.1</v>
      </c>
      <c r="K179" s="54"/>
      <c r="L179" s="56" t="b">
        <v>0</v>
      </c>
      <c r="M179" s="56" t="b">
        <v>0</v>
      </c>
      <c r="N179" s="54">
        <v>1</v>
      </c>
      <c r="O179" s="54" t="s">
        <v>228</v>
      </c>
      <c r="P179" s="54">
        <v>24</v>
      </c>
      <c r="Q179" s="54">
        <v>24</v>
      </c>
      <c r="R179" s="54">
        <v>300</v>
      </c>
      <c r="S179" s="54" t="s">
        <v>554</v>
      </c>
      <c r="T179" s="54" t="s">
        <v>555</v>
      </c>
      <c r="U179" s="54" t="s">
        <v>556</v>
      </c>
      <c r="V179" s="54" t="s">
        <v>557</v>
      </c>
      <c r="W179" s="54" t="b">
        <v>0</v>
      </c>
      <c r="X179" s="54"/>
      <c r="Y179" s="57" t="s">
        <v>2066</v>
      </c>
      <c r="Z179" s="54" t="s">
        <v>2067</v>
      </c>
      <c r="AA179" s="54"/>
      <c r="AB179" s="54" t="s">
        <v>558</v>
      </c>
      <c r="AC179" s="56" t="b">
        <v>1</v>
      </c>
      <c r="AD179" s="56" t="b">
        <v>0</v>
      </c>
      <c r="AE179" s="54" t="s">
        <v>303</v>
      </c>
      <c r="AF179" s="58">
        <v>46231</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6.6100000000000006E-2</v>
      </c>
      <c r="BC179" s="60">
        <v>4.9000000000000004</v>
      </c>
      <c r="BD179" s="61">
        <v>5.1461E-2</v>
      </c>
      <c r="BE179" s="62" t="s">
        <v>293</v>
      </c>
      <c r="BF179" s="35">
        <f t="shared" si="225"/>
        <v>4.9000000000000004</v>
      </c>
      <c r="BG179" s="35">
        <f t="shared" si="225"/>
        <v>5.1461E-2</v>
      </c>
      <c r="BH179" s="35" t="str">
        <f t="shared" si="226"/>
        <v>Med</v>
      </c>
      <c r="BI179" s="110">
        <f t="shared" si="227"/>
        <v>0</v>
      </c>
      <c r="BJ179" s="83">
        <f>VLOOKUP($F179,REP_Info!$D$6:$H$250,5,FALSE)</f>
        <v>0.123</v>
      </c>
      <c r="BK179" s="30">
        <f t="shared" si="228"/>
        <v>13.136099999999999</v>
      </c>
      <c r="BL179" s="30">
        <f t="shared" si="228"/>
        <v>12.446100000000003</v>
      </c>
      <c r="BM179" s="30">
        <f t="shared" si="228"/>
        <v>12.101100000000001</v>
      </c>
      <c r="BN179" s="29">
        <f t="shared" si="228"/>
        <v>11.9861</v>
      </c>
      <c r="BO179" s="85" t="str">
        <f t="shared" si="239"/>
        <v>$$$</v>
      </c>
      <c r="BP179" s="88" t="str">
        <f t="shared" si="229"/>
        <v>$$$</v>
      </c>
      <c r="BQ179" s="88" t="str">
        <f t="shared" ref="BQ179:BQ180" si="247">IFERROR(SUMPRODUCT($BS$7:$CD$7,$BS179:$CD179,--($BS$4:$CD$4&lt;=$Q179))/SUMPRODUCT(--($BS$4:$CD$4&lt;=$Q179),$BS$7:$CD$7),"$$$")</f>
        <v>$$$</v>
      </c>
      <c r="BR179" s="88" t="str">
        <f t="shared" ref="BR179:BR180" si="248">IFERROR($BQ179-$BF179*100*SUMPRODUCT(--($BS$4:$CD$4&lt;=$Q179))/SUMPRODUCT(--($BS$4:$CD$4&lt;=$Q179),$BS$7:$CD$7)-$BG179*100,"$$$")</f>
        <v>$$$</v>
      </c>
      <c r="BS179" s="29" t="e">
        <f t="shared" si="230"/>
        <v>#N/A</v>
      </c>
      <c r="BT179" s="29" t="e">
        <f t="shared" si="230"/>
        <v>#N/A</v>
      </c>
      <c r="BU179" s="29" t="e">
        <f t="shared" si="230"/>
        <v>#N/A</v>
      </c>
      <c r="BV179" s="29" t="e">
        <f t="shared" si="230"/>
        <v>#N/A</v>
      </c>
      <c r="BW179" s="29" t="e">
        <f t="shared" si="230"/>
        <v>#N/A</v>
      </c>
      <c r="BX179" s="29" t="e">
        <f t="shared" si="230"/>
        <v>#N/A</v>
      </c>
      <c r="BY179" s="29" t="e">
        <f t="shared" si="230"/>
        <v>#N/A</v>
      </c>
      <c r="BZ179" s="29" t="e">
        <f t="shared" si="230"/>
        <v>#N/A</v>
      </c>
      <c r="CA179" s="29" t="e">
        <f t="shared" si="230"/>
        <v>#N/A</v>
      </c>
      <c r="CB179" s="29" t="e">
        <f t="shared" si="230"/>
        <v>#N/A</v>
      </c>
      <c r="CC179" s="29" t="e">
        <f t="shared" si="230"/>
        <v>#N/A</v>
      </c>
      <c r="CD179" s="29" t="e">
        <f t="shared" si="230"/>
        <v>#N/A</v>
      </c>
      <c r="CE179" s="6" t="str">
        <f t="shared" si="197"/>
        <v/>
      </c>
      <c r="CF179" s="27" t="e">
        <f>IF(AND(CI179,NOT(AD179)),LOOKUP(CF$5,{0,750,1500},H179:J179),"")</f>
        <v>#N/A</v>
      </c>
      <c r="CG179" s="6" t="str">
        <f t="shared" si="198"/>
        <v/>
      </c>
      <c r="CH179" t="e">
        <f t="shared" si="231"/>
        <v>#N/A</v>
      </c>
      <c r="CI179" t="e">
        <f t="shared" si="232"/>
        <v>#N/A</v>
      </c>
      <c r="CJ179" s="6" t="e">
        <f t="shared" si="240"/>
        <v>#N/A</v>
      </c>
      <c r="CK179" s="6">
        <f t="shared" si="241"/>
        <v>1</v>
      </c>
      <c r="CL179" s="6">
        <f t="shared" si="233"/>
        <v>1</v>
      </c>
      <c r="CM179" s="6">
        <f t="shared" si="242"/>
        <v>1</v>
      </c>
      <c r="CN179" s="6">
        <f t="shared" si="243"/>
        <v>1</v>
      </c>
      <c r="CO179" s="6">
        <f t="shared" si="244"/>
        <v>0</v>
      </c>
      <c r="CP179" s="6">
        <f t="shared" si="245"/>
        <v>1</v>
      </c>
      <c r="CQ179" s="6">
        <f t="shared" si="234"/>
        <v>1</v>
      </c>
      <c r="CR179" s="81" t="str">
        <f t="shared" si="246"/>
        <v/>
      </c>
      <c r="CS179">
        <f t="shared" si="235"/>
        <v>0</v>
      </c>
      <c r="CT179">
        <f t="shared" si="19"/>
        <v>300</v>
      </c>
      <c r="CU179" t="str">
        <f t="shared" si="236"/>
        <v/>
      </c>
      <c r="CV179" s="81">
        <f t="shared" si="237"/>
        <v>300</v>
      </c>
      <c r="CW179" s="81">
        <f>(CV179/25)^1.5*(Calculator!$BU$4/10000)*CW$5</f>
        <v>107.33613078068259</v>
      </c>
      <c r="CX179" t="str">
        <f t="shared" si="238"/>
        <v>$300</v>
      </c>
    </row>
    <row r="180" spans="2:102" x14ac:dyDescent="0.25">
      <c r="B180" s="115" t="s">
        <v>233</v>
      </c>
      <c r="C180" s="13">
        <v>46232.244444444441</v>
      </c>
      <c r="D180">
        <v>34026</v>
      </c>
      <c r="E180" s="54" t="s">
        <v>237</v>
      </c>
      <c r="F180" s="54" t="s">
        <v>552</v>
      </c>
      <c r="G180" s="54" t="s">
        <v>566</v>
      </c>
      <c r="H180" s="55">
        <v>14.000000000000002</v>
      </c>
      <c r="I180" s="55">
        <v>13.4</v>
      </c>
      <c r="J180" s="55">
        <v>13.100000000000001</v>
      </c>
      <c r="K180" s="54"/>
      <c r="L180" s="56" t="b">
        <v>0</v>
      </c>
      <c r="M180" s="56" t="b">
        <v>0</v>
      </c>
      <c r="N180" s="54">
        <v>1</v>
      </c>
      <c r="O180" s="54" t="s">
        <v>228</v>
      </c>
      <c r="P180" s="54">
        <v>24</v>
      </c>
      <c r="Q180" s="54">
        <v>24</v>
      </c>
      <c r="R180" s="54">
        <v>300</v>
      </c>
      <c r="S180" s="54" t="s">
        <v>554</v>
      </c>
      <c r="T180" s="54" t="s">
        <v>555</v>
      </c>
      <c r="U180" s="54" t="s">
        <v>556</v>
      </c>
      <c r="V180" s="54" t="s">
        <v>557</v>
      </c>
      <c r="W180" s="54" t="b">
        <v>0</v>
      </c>
      <c r="X180" s="54"/>
      <c r="Y180" s="57" t="s">
        <v>2068</v>
      </c>
      <c r="Z180" s="54" t="s">
        <v>2069</v>
      </c>
      <c r="AA180" s="54"/>
      <c r="AB180" s="54" t="s">
        <v>558</v>
      </c>
      <c r="AC180" s="56" t="b">
        <v>1</v>
      </c>
      <c r="AD180" s="56" t="b">
        <v>0</v>
      </c>
      <c r="AE180" s="54" t="s">
        <v>303</v>
      </c>
      <c r="AF180" s="58">
        <v>46231</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6.6320000000000004E-2</v>
      </c>
      <c r="BC180" s="60">
        <v>4.0599999999999996</v>
      </c>
      <c r="BD180" s="61">
        <v>6.1196E-2</v>
      </c>
      <c r="BE180" s="62" t="s">
        <v>293</v>
      </c>
      <c r="BF180" s="35">
        <f t="shared" si="225"/>
        <v>4.0600000000000005</v>
      </c>
      <c r="BG180" s="35">
        <f t="shared" si="225"/>
        <v>6.0295000000000001E-2</v>
      </c>
      <c r="BH180" s="35" t="str">
        <f t="shared" si="226"/>
        <v>Med</v>
      </c>
      <c r="BI180" s="110">
        <f t="shared" si="227"/>
        <v>0</v>
      </c>
      <c r="BJ180" s="83">
        <f>VLOOKUP($F180,REP_Info!$D$6:$H$250,5,FALSE)</f>
        <v>0.123</v>
      </c>
      <c r="BK180" s="30">
        <f t="shared" si="228"/>
        <v>13.873500000000002</v>
      </c>
      <c r="BL180" s="30">
        <f t="shared" si="228"/>
        <v>13.267500000000002</v>
      </c>
      <c r="BM180" s="30">
        <f t="shared" si="228"/>
        <v>12.964500000000001</v>
      </c>
      <c r="BN180" s="29">
        <f t="shared" si="228"/>
        <v>12.8635</v>
      </c>
      <c r="BO180" s="85" t="str">
        <f t="shared" si="239"/>
        <v>$$$</v>
      </c>
      <c r="BP180" s="88" t="str">
        <f t="shared" si="229"/>
        <v>$$$</v>
      </c>
      <c r="BQ180" s="88" t="str">
        <f t="shared" si="247"/>
        <v>$$$</v>
      </c>
      <c r="BR180" s="88" t="str">
        <f t="shared" si="248"/>
        <v>$$$</v>
      </c>
      <c r="BS180" s="29" t="e">
        <f t="shared" si="230"/>
        <v>#N/A</v>
      </c>
      <c r="BT180" s="29" t="e">
        <f t="shared" si="230"/>
        <v>#N/A</v>
      </c>
      <c r="BU180" s="29" t="e">
        <f t="shared" si="230"/>
        <v>#N/A</v>
      </c>
      <c r="BV180" s="29" t="e">
        <f t="shared" si="230"/>
        <v>#N/A</v>
      </c>
      <c r="BW180" s="29" t="e">
        <f t="shared" si="230"/>
        <v>#N/A</v>
      </c>
      <c r="BX180" s="29" t="e">
        <f t="shared" si="230"/>
        <v>#N/A</v>
      </c>
      <c r="BY180" s="29" t="e">
        <f t="shared" si="230"/>
        <v>#N/A</v>
      </c>
      <c r="BZ180" s="29" t="e">
        <f t="shared" si="230"/>
        <v>#N/A</v>
      </c>
      <c r="CA180" s="29" t="e">
        <f t="shared" si="230"/>
        <v>#N/A</v>
      </c>
      <c r="CB180" s="29" t="e">
        <f t="shared" si="230"/>
        <v>#N/A</v>
      </c>
      <c r="CC180" s="29" t="e">
        <f t="shared" si="230"/>
        <v>#N/A</v>
      </c>
      <c r="CD180" s="29" t="e">
        <f t="shared" si="230"/>
        <v>#N/A</v>
      </c>
      <c r="CE180" s="6" t="str">
        <f t="shared" si="197"/>
        <v/>
      </c>
      <c r="CF180" s="27" t="e">
        <f>IF(AND(CI180,NOT(AD180)),LOOKUP(CF$5,{0,750,1500},H180:J180),"")</f>
        <v>#N/A</v>
      </c>
      <c r="CG180" s="6" t="str">
        <f t="shared" si="198"/>
        <v/>
      </c>
      <c r="CH180" t="e">
        <f t="shared" si="231"/>
        <v>#N/A</v>
      </c>
      <c r="CI180" t="e">
        <f t="shared" si="232"/>
        <v>#N/A</v>
      </c>
      <c r="CJ180" s="6" t="e">
        <f t="shared" si="240"/>
        <v>#N/A</v>
      </c>
      <c r="CK180" s="6">
        <f t="shared" si="241"/>
        <v>1</v>
      </c>
      <c r="CL180" s="6">
        <f t="shared" si="233"/>
        <v>1</v>
      </c>
      <c r="CM180" s="6">
        <f t="shared" si="242"/>
        <v>1</v>
      </c>
      <c r="CN180" s="6">
        <f t="shared" si="243"/>
        <v>1</v>
      </c>
      <c r="CO180" s="6">
        <f t="shared" si="244"/>
        <v>0</v>
      </c>
      <c r="CP180" s="6">
        <f t="shared" si="245"/>
        <v>1</v>
      </c>
      <c r="CQ180" s="6">
        <f t="shared" si="234"/>
        <v>1</v>
      </c>
      <c r="CR180" s="81" t="str">
        <f t="shared" si="246"/>
        <v/>
      </c>
      <c r="CS180">
        <f t="shared" si="235"/>
        <v>0</v>
      </c>
      <c r="CT180">
        <f t="shared" si="19"/>
        <v>300</v>
      </c>
      <c r="CU180" t="str">
        <f t="shared" si="236"/>
        <v/>
      </c>
      <c r="CV180" s="81">
        <f t="shared" si="237"/>
        <v>300</v>
      </c>
      <c r="CW180" s="81">
        <f>(CV180/25)^1.5*(Calculator!$BU$4/10000)*CW$5</f>
        <v>107.33613078068259</v>
      </c>
      <c r="CX180" t="str">
        <f t="shared" si="238"/>
        <v>$300</v>
      </c>
    </row>
    <row r="181" spans="2:102" x14ac:dyDescent="0.25">
      <c r="B181" s="115" t="s">
        <v>233</v>
      </c>
      <c r="C181" s="13">
        <v>46232.244444444441</v>
      </c>
      <c r="D181">
        <v>34107</v>
      </c>
      <c r="E181" s="54" t="s">
        <v>235</v>
      </c>
      <c r="F181" s="54" t="s">
        <v>552</v>
      </c>
      <c r="G181" s="54" t="s">
        <v>567</v>
      </c>
      <c r="H181" s="55">
        <v>13.700000000000001</v>
      </c>
      <c r="I181" s="55">
        <v>13</v>
      </c>
      <c r="J181" s="55">
        <v>12.7</v>
      </c>
      <c r="K181" s="54"/>
      <c r="L181" s="56" t="b">
        <v>0</v>
      </c>
      <c r="M181" s="56" t="b">
        <v>0</v>
      </c>
      <c r="N181" s="54">
        <v>1</v>
      </c>
      <c r="O181" s="54" t="s">
        <v>228</v>
      </c>
      <c r="P181" s="54">
        <v>24</v>
      </c>
      <c r="Q181" s="54">
        <v>36</v>
      </c>
      <c r="R181" s="54">
        <v>375</v>
      </c>
      <c r="S181" s="54" t="s">
        <v>554</v>
      </c>
      <c r="T181" s="54" t="s">
        <v>555</v>
      </c>
      <c r="U181" s="54" t="s">
        <v>556</v>
      </c>
      <c r="V181" s="54" t="s">
        <v>557</v>
      </c>
      <c r="W181" s="54" t="b">
        <v>0</v>
      </c>
      <c r="X181" s="54"/>
      <c r="Y181" s="57" t="s">
        <v>2070</v>
      </c>
      <c r="Z181" s="54" t="s">
        <v>2071</v>
      </c>
      <c r="AA181" s="54"/>
      <c r="AB181" s="54" t="s">
        <v>558</v>
      </c>
      <c r="AC181" s="56" t="b">
        <v>1</v>
      </c>
      <c r="AD181" s="56" t="b">
        <v>0</v>
      </c>
      <c r="AE181" s="54" t="s">
        <v>303</v>
      </c>
      <c r="AF181" s="58">
        <v>46231</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7.1679999999999994E-2</v>
      </c>
      <c r="BC181" s="60">
        <v>4.9000000000000004</v>
      </c>
      <c r="BD181" s="61">
        <v>5.1461E-2</v>
      </c>
      <c r="BE181" s="62" t="s">
        <v>293</v>
      </c>
      <c r="BF181" s="35">
        <f t="shared" ref="BF181:BG182" si="249">IF($E181=$E$4,BF$4,IF($E181=$E$5,BF$5,""))</f>
        <v>4.9000000000000004</v>
      </c>
      <c r="BG181" s="35">
        <f t="shared" si="249"/>
        <v>5.1461E-2</v>
      </c>
      <c r="BH181" s="35" t="str">
        <f t="shared" ref="BH181:BH182" si="250">IF(ISTEXT(BE181),IF(AND(AV181=0,SUM(AN181:AQ181)=0),IF(AM181&lt;=0,IF(BE181="Y","Low","Flat"),"Med"),"High"),"?")</f>
        <v>Med</v>
      </c>
      <c r="BI181" s="110">
        <f t="shared" ref="BI181:BI182" si="251">IF(ISNUMBER(AH181),0*BI$5*SIN((EDATE($A$3,$Q181)-DATE(YEAR(EDATE($A$3,$Q181)),1,0)-BI$4)*2*PI()/365),"")</f>
        <v>0</v>
      </c>
      <c r="BJ181" s="83">
        <f>VLOOKUP($F181,REP_Info!$D$6:$H$250,5,FALSE)</f>
        <v>0.123</v>
      </c>
      <c r="BK181" s="30">
        <f t="shared" ref="BK181:BN182" si="252">IF(BK$7&gt;0,(LOOKUP(BK$7,$AH181:$AL181,$AM181:$AQ181)+IF($AG181="Y",SUMPRODUCT($AX181:$BB181-$AW181:$BA181,BK$7-$AR181:$AV181,N(BK$7&gt;$AR181:$AV181)),BK$7*LOOKUP(BK$7,$AR181:$AV181,$AX181:$BB181))+IF($BE181="Y",$BF181,$BC181)+BK$7*IF($BE181="Y",$BG181,$BD181))*100/BK$7,"")</f>
        <v>13.694099999999997</v>
      </c>
      <c r="BL181" s="30">
        <f t="shared" si="252"/>
        <v>13.004100000000001</v>
      </c>
      <c r="BM181" s="30">
        <f t="shared" si="252"/>
        <v>12.659099999999999</v>
      </c>
      <c r="BN181" s="29">
        <f t="shared" si="252"/>
        <v>12.544099999999998</v>
      </c>
      <c r="BO181" s="85" t="str">
        <f t="shared" si="2"/>
        <v>$$$</v>
      </c>
      <c r="BP181" s="88" t="str">
        <f t="shared" ref="BP181:BP182" si="253">IFERROR(BO181*100/BO$5,"$$$")</f>
        <v>$$$</v>
      </c>
      <c r="BQ181" s="88" t="str">
        <f t="shared" si="4"/>
        <v>$$$</v>
      </c>
      <c r="BR181" s="88" t="str">
        <f t="shared" si="5"/>
        <v>$$$</v>
      </c>
      <c r="BS181" s="29" t="e">
        <f t="shared" ref="BS181:CD182" si="254">IF($CI181,IF(BS$7&gt;0,IF(BS$4&gt;$Q181,$BF181+BS$7*(BS$5+$BG181+$BI181),LOOKUP(BS$7,$AH181:$AL181,$AM181:$AQ181)+IF($AG181="Y",SUMPRODUCT($AX181:$BB181-$AW181:$BA181,BS$7-$AR181:$AV181,N(BS$7&gt;$AR181:$AV181)),BS$7*LOOKUP(BS$7,$AR181:$AV181,$AX181:$BB181))+IF($BE181="Y",$BF181,$BC181)+BS$7*IF($BE181="Y",$BG181,$BD181))*100/BS$7,""),NA())</f>
        <v>#N/A</v>
      </c>
      <c r="BT181" s="29" t="e">
        <f t="shared" si="254"/>
        <v>#N/A</v>
      </c>
      <c r="BU181" s="29" t="e">
        <f t="shared" si="254"/>
        <v>#N/A</v>
      </c>
      <c r="BV181" s="29" t="e">
        <f t="shared" si="254"/>
        <v>#N/A</v>
      </c>
      <c r="BW181" s="29" t="e">
        <f t="shared" si="254"/>
        <v>#N/A</v>
      </c>
      <c r="BX181" s="29" t="e">
        <f t="shared" si="254"/>
        <v>#N/A</v>
      </c>
      <c r="BY181" s="29" t="e">
        <f t="shared" si="254"/>
        <v>#N/A</v>
      </c>
      <c r="BZ181" s="29" t="e">
        <f t="shared" si="254"/>
        <v>#N/A</v>
      </c>
      <c r="CA181" s="29" t="e">
        <f t="shared" si="254"/>
        <v>#N/A</v>
      </c>
      <c r="CB181" s="29" t="e">
        <f t="shared" si="254"/>
        <v>#N/A</v>
      </c>
      <c r="CC181" s="29" t="e">
        <f t="shared" si="254"/>
        <v>#N/A</v>
      </c>
      <c r="CD181" s="29" t="e">
        <f t="shared" si="254"/>
        <v>#N/A</v>
      </c>
      <c r="CE181" s="6" t="str">
        <f t="shared" si="197"/>
        <v/>
      </c>
      <c r="CF181" s="27" t="e">
        <f>IF(AND(CI181,NOT(AD181)),LOOKUP(CF$5,{0,750,1500},H181:J181),"")</f>
        <v>#N/A</v>
      </c>
      <c r="CG181" s="6" t="str">
        <f t="shared" si="198"/>
        <v/>
      </c>
      <c r="CH181" t="e">
        <f t="shared" ref="CH181:CH182" si="255">IF(CI181,IF(ISNUMBER(BO181),BO181,100000)+CV181/10000+IF(ISNUMBER(BJ181),BJ181,2)/10000-P181/100000+ROW()/10000000,"")</f>
        <v>#N/A</v>
      </c>
      <c r="CI181" t="e">
        <f t="shared" ref="CI181:CI182" si="256">PRODUCT(CJ181:CQ181)</f>
        <v>#N/A</v>
      </c>
      <c r="CJ181" s="6" t="e">
        <f t="shared" si="11"/>
        <v>#N/A</v>
      </c>
      <c r="CK181" s="6">
        <f t="shared" si="12"/>
        <v>1</v>
      </c>
      <c r="CL181" s="6">
        <f t="shared" ref="CL181:CL182" si="257">IFERROR(--OR(ISBLANK(CL$5),$BJ181="",AND(ISNUMBER($BJ181),$BJ181&lt;=CL$5)),1)</f>
        <v>1</v>
      </c>
      <c r="CM181" s="6">
        <f t="shared" si="13"/>
        <v>1</v>
      </c>
      <c r="CN181" s="6">
        <f t="shared" si="14"/>
        <v>1</v>
      </c>
      <c r="CO181" s="6">
        <f t="shared" si="15"/>
        <v>0</v>
      </c>
      <c r="CP181" s="6">
        <f t="shared" si="16"/>
        <v>1</v>
      </c>
      <c r="CQ181" s="6">
        <f t="shared" ref="CQ181:CQ182" si="258">IF(CQ$5="Any",1,IF(AND(CQ$5="Med",AV181=0,SUM(AN181:AQ181)=0),1,IF(AND(CQ$5="Low",AV181=0,SUM(AN181:AQ181)=0,AM181=0),1,IF(AND(CQ$5="Flat",AV181=0,SUM(AN181:AQ181)=0,AM181=0,IFERROR(NOT(BE181="Y"),0)),1,0))))</f>
        <v>1</v>
      </c>
      <c r="CR181" s="81" t="str">
        <f t="shared" si="17"/>
        <v/>
      </c>
      <c r="CS181">
        <f t="shared" ref="CS181:CS182" si="259">CS$5*(12/(MIN(12,Q181))-1)</f>
        <v>0</v>
      </c>
      <c r="CT181">
        <f t="shared" si="19"/>
        <v>375</v>
      </c>
      <c r="CU181" t="str">
        <f t="shared" ref="CU181:CU182" si="260">IF(AND(ISERR(FIND("remain",$R181)),ISERR(FIND("left",$R181))),"","r")&amp;IF(ISERR(FIND("mon",$R181)),"","m")</f>
        <v/>
      </c>
      <c r="CV181" s="81">
        <f t="shared" ref="CV181:CV182" si="261">CT181*IF(CU181="",1,Q181)</f>
        <v>375</v>
      </c>
      <c r="CW181" s="81">
        <f>(CV181/25)^1.5*(Calculator!$BU$4/10000)*CW$5</f>
        <v>150.00680304213355</v>
      </c>
      <c r="CX181" t="str">
        <f t="shared" ref="CX181:CX182" si="262">"$"&amp;IF(LEFT(CU181,1)="r",CT181&amp;"/"&amp;CU181,CV181)</f>
        <v>$375</v>
      </c>
    </row>
    <row r="182" spans="2:102" x14ac:dyDescent="0.25">
      <c r="B182" s="115" t="s">
        <v>233</v>
      </c>
      <c r="C182" s="13">
        <v>46232.244444444441</v>
      </c>
      <c r="D182">
        <v>34109</v>
      </c>
      <c r="E182" s="54" t="s">
        <v>237</v>
      </c>
      <c r="F182" s="54" t="s">
        <v>552</v>
      </c>
      <c r="G182" s="54" t="s">
        <v>567</v>
      </c>
      <c r="H182" s="55">
        <v>14.299999999999999</v>
      </c>
      <c r="I182" s="55">
        <v>13.700000000000001</v>
      </c>
      <c r="J182" s="55">
        <v>13.4</v>
      </c>
      <c r="K182" s="54"/>
      <c r="L182" s="56" t="b">
        <v>0</v>
      </c>
      <c r="M182" s="56" t="b">
        <v>0</v>
      </c>
      <c r="N182" s="54">
        <v>1</v>
      </c>
      <c r="O182" s="54" t="s">
        <v>228</v>
      </c>
      <c r="P182" s="54">
        <v>24</v>
      </c>
      <c r="Q182" s="54">
        <v>36</v>
      </c>
      <c r="R182" s="54">
        <v>375</v>
      </c>
      <c r="S182" s="54" t="s">
        <v>554</v>
      </c>
      <c r="T182" s="54" t="s">
        <v>555</v>
      </c>
      <c r="U182" s="54" t="s">
        <v>556</v>
      </c>
      <c r="V182" s="54" t="s">
        <v>557</v>
      </c>
      <c r="W182" s="54" t="b">
        <v>0</v>
      </c>
      <c r="X182" s="54"/>
      <c r="Y182" s="57" t="s">
        <v>2072</v>
      </c>
      <c r="Z182" s="54" t="s">
        <v>2073</v>
      </c>
      <c r="AA182" s="54"/>
      <c r="AB182" s="54" t="s">
        <v>558</v>
      </c>
      <c r="AC182" s="56" t="b">
        <v>1</v>
      </c>
      <c r="AD182" s="56" t="b">
        <v>0</v>
      </c>
      <c r="AE182" s="54" t="s">
        <v>303</v>
      </c>
      <c r="AF182" s="58">
        <v>46231</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7.0000000000000007E-2</v>
      </c>
      <c r="BC182" s="60">
        <v>4.0599999999999996</v>
      </c>
      <c r="BD182" s="61">
        <v>6.1196E-2</v>
      </c>
      <c r="BE182" s="62" t="s">
        <v>293</v>
      </c>
      <c r="BF182" s="35">
        <f t="shared" si="249"/>
        <v>4.0600000000000005</v>
      </c>
      <c r="BG182" s="35">
        <f t="shared" si="249"/>
        <v>6.0295000000000001E-2</v>
      </c>
      <c r="BH182" s="35" t="str">
        <f t="shared" si="250"/>
        <v>Med</v>
      </c>
      <c r="BI182" s="110">
        <f t="shared" si="251"/>
        <v>0</v>
      </c>
      <c r="BJ182" s="83">
        <f>VLOOKUP($F182,REP_Info!$D$6:$H$250,5,FALSE)</f>
        <v>0.123</v>
      </c>
      <c r="BK182" s="30">
        <f t="shared" si="252"/>
        <v>14.241500000000002</v>
      </c>
      <c r="BL182" s="30">
        <f t="shared" si="252"/>
        <v>13.635500000000002</v>
      </c>
      <c r="BM182" s="30">
        <f t="shared" si="252"/>
        <v>13.332499999999998</v>
      </c>
      <c r="BN182" s="29">
        <f t="shared" si="252"/>
        <v>13.231500000000002</v>
      </c>
      <c r="BO182" s="85" t="str">
        <f t="shared" si="2"/>
        <v>$$$</v>
      </c>
      <c r="BP182" s="88" t="str">
        <f t="shared" si="253"/>
        <v>$$$</v>
      </c>
      <c r="BQ182" s="88" t="str">
        <f t="shared" si="4"/>
        <v>$$$</v>
      </c>
      <c r="BR182" s="88" t="str">
        <f t="shared" si="5"/>
        <v>$$$</v>
      </c>
      <c r="BS182" s="29" t="e">
        <f t="shared" si="254"/>
        <v>#N/A</v>
      </c>
      <c r="BT182" s="29" t="e">
        <f t="shared" si="254"/>
        <v>#N/A</v>
      </c>
      <c r="BU182" s="29" t="e">
        <f t="shared" si="254"/>
        <v>#N/A</v>
      </c>
      <c r="BV182" s="29" t="e">
        <f t="shared" si="254"/>
        <v>#N/A</v>
      </c>
      <c r="BW182" s="29" t="e">
        <f t="shared" si="254"/>
        <v>#N/A</v>
      </c>
      <c r="BX182" s="29" t="e">
        <f t="shared" si="254"/>
        <v>#N/A</v>
      </c>
      <c r="BY182" s="29" t="e">
        <f t="shared" si="254"/>
        <v>#N/A</v>
      </c>
      <c r="BZ182" s="29" t="e">
        <f t="shared" si="254"/>
        <v>#N/A</v>
      </c>
      <c r="CA182" s="29" t="e">
        <f t="shared" si="254"/>
        <v>#N/A</v>
      </c>
      <c r="CB182" s="29" t="e">
        <f t="shared" si="254"/>
        <v>#N/A</v>
      </c>
      <c r="CC182" s="29" t="e">
        <f t="shared" si="254"/>
        <v>#N/A</v>
      </c>
      <c r="CD182" s="29" t="e">
        <f t="shared" si="254"/>
        <v>#N/A</v>
      </c>
      <c r="CE182" s="6" t="str">
        <f t="shared" si="197"/>
        <v/>
      </c>
      <c r="CF182" s="27" t="e">
        <f>IF(AND(CI182,NOT(AD182)),LOOKUP(CF$5,{0,750,1500},H182:J182),"")</f>
        <v>#N/A</v>
      </c>
      <c r="CG182" s="6" t="str">
        <f t="shared" si="198"/>
        <v/>
      </c>
      <c r="CH182" t="e">
        <f t="shared" si="255"/>
        <v>#N/A</v>
      </c>
      <c r="CI182" t="e">
        <f t="shared" si="256"/>
        <v>#N/A</v>
      </c>
      <c r="CJ182" s="6" t="e">
        <f t="shared" si="11"/>
        <v>#N/A</v>
      </c>
      <c r="CK182" s="6">
        <f t="shared" si="12"/>
        <v>1</v>
      </c>
      <c r="CL182" s="6">
        <f t="shared" si="257"/>
        <v>1</v>
      </c>
      <c r="CM182" s="6">
        <f t="shared" si="13"/>
        <v>1</v>
      </c>
      <c r="CN182" s="6">
        <f t="shared" si="14"/>
        <v>1</v>
      </c>
      <c r="CO182" s="6">
        <f t="shared" si="15"/>
        <v>0</v>
      </c>
      <c r="CP182" s="6">
        <f t="shared" si="16"/>
        <v>1</v>
      </c>
      <c r="CQ182" s="6">
        <f t="shared" si="258"/>
        <v>1</v>
      </c>
      <c r="CR182" s="81" t="str">
        <f t="shared" si="17"/>
        <v/>
      </c>
      <c r="CS182">
        <f t="shared" si="259"/>
        <v>0</v>
      </c>
      <c r="CT182">
        <f t="shared" si="19"/>
        <v>375</v>
      </c>
      <c r="CU182" t="str">
        <f t="shared" si="260"/>
        <v/>
      </c>
      <c r="CV182" s="81">
        <f t="shared" si="261"/>
        <v>375</v>
      </c>
      <c r="CW182" s="81">
        <f>(CV182/25)^1.5*(Calculator!$BU$4/10000)*CW$5</f>
        <v>150.00680304213355</v>
      </c>
      <c r="CX182" t="str">
        <f t="shared" si="262"/>
        <v>$375</v>
      </c>
    </row>
    <row r="183" spans="2:102" x14ac:dyDescent="0.25">
      <c r="B183" s="115" t="s">
        <v>233</v>
      </c>
      <c r="C183" s="13">
        <v>46236.341666666667</v>
      </c>
      <c r="D183">
        <v>17283</v>
      </c>
      <c r="E183" s="54" t="s">
        <v>237</v>
      </c>
      <c r="F183" s="54" t="s">
        <v>568</v>
      </c>
      <c r="G183" s="54" t="s">
        <v>1848</v>
      </c>
      <c r="H183" s="55">
        <v>12.4</v>
      </c>
      <c r="I183" s="55">
        <v>11.5</v>
      </c>
      <c r="J183" s="55">
        <v>11.1</v>
      </c>
      <c r="K183" s="54"/>
      <c r="L183" s="56" t="b">
        <v>0</v>
      </c>
      <c r="M183" s="56" t="b">
        <v>0</v>
      </c>
      <c r="N183" s="54">
        <v>1</v>
      </c>
      <c r="O183" s="54" t="s">
        <v>228</v>
      </c>
      <c r="P183" s="54">
        <v>31</v>
      </c>
      <c r="Q183" s="54">
        <v>5</v>
      </c>
      <c r="R183" s="54">
        <v>175</v>
      </c>
      <c r="S183" s="54" t="s">
        <v>569</v>
      </c>
      <c r="T183" s="54" t="s">
        <v>570</v>
      </c>
      <c r="U183" s="54" t="s">
        <v>1836</v>
      </c>
      <c r="V183" s="54" t="s">
        <v>571</v>
      </c>
      <c r="W183" s="54" t="b">
        <v>0</v>
      </c>
      <c r="X183" s="54"/>
      <c r="Y183" s="57" t="s">
        <v>1849</v>
      </c>
      <c r="Z183" s="54" t="s">
        <v>572</v>
      </c>
      <c r="AA183" s="54"/>
      <c r="AB183" s="54" t="s">
        <v>573</v>
      </c>
      <c r="AC183" s="56" t="b">
        <v>1</v>
      </c>
      <c r="AD183" s="56" t="b">
        <v>0</v>
      </c>
      <c r="AE183" s="54" t="s">
        <v>303</v>
      </c>
      <c r="AF183" s="58">
        <v>46236</v>
      </c>
      <c r="AG183" s="62" t="s">
        <v>293</v>
      </c>
      <c r="AH183" s="54">
        <v>0</v>
      </c>
      <c r="AI183" s="54"/>
      <c r="AJ183" s="54"/>
      <c r="AK183" s="54"/>
      <c r="AL183" s="54"/>
      <c r="AM183" s="54">
        <v>9.9980000000000011</v>
      </c>
      <c r="AN183" s="54"/>
      <c r="AO183" s="54"/>
      <c r="AP183" s="54"/>
      <c r="AQ183" s="54"/>
      <c r="AR183" s="54"/>
      <c r="AS183" s="54"/>
      <c r="AT183" s="54"/>
      <c r="AU183" s="54"/>
      <c r="AV183" s="54"/>
      <c r="AW183" s="54"/>
      <c r="AX183" s="59"/>
      <c r="AY183" s="59"/>
      <c r="AZ183" s="59"/>
      <c r="BA183" s="59"/>
      <c r="BB183" s="59">
        <v>4.5999999999999999E-2</v>
      </c>
      <c r="BC183" s="60">
        <v>4.0599999999999996</v>
      </c>
      <c r="BD183" s="61">
        <v>6.0295000000000001E-2</v>
      </c>
      <c r="BE183" s="62" t="s">
        <v>293</v>
      </c>
      <c r="BF183" s="35">
        <f t="shared" ref="BF183:BG186" si="263">IF($E183=$E$4,BF$4,IF($E183=$E$5,BF$5,""))</f>
        <v>4.0600000000000005</v>
      </c>
      <c r="BG183" s="35">
        <f t="shared" si="263"/>
        <v>6.0295000000000001E-2</v>
      </c>
      <c r="BH183" s="35" t="str">
        <f t="shared" ref="BH183:BH186" si="264">IF(ISTEXT(BE183),IF(AND(AV183=0,SUM(AN183:AQ183)=0),IF(AM183&lt;=0,IF(BE183="Y","Low","Flat"),"Med"),"High"),"?")</f>
        <v>Med</v>
      </c>
      <c r="BI183" s="110">
        <f t="shared" ref="BI183:BI186" si="265">IF(ISNUMBER(AH183),0*BI$5*SIN((EDATE($A$3,$Q183)-DATE(YEAR(EDATE($A$3,$Q183)),1,0)-BI$4)*2*PI()/365),"")</f>
        <v>0</v>
      </c>
      <c r="BJ183" s="83">
        <f>VLOOKUP($F183,REP_Info!$D$6:$H$250,5,FALSE)</f>
        <v>1.8620000000000001</v>
      </c>
      <c r="BK183" s="30">
        <f t="shared" ref="BK183:BN186" si="266">IF(BK$7&gt;0,(LOOKUP(BK$7,$AH183:$AL183,$AM183:$AQ183)+IF($AG183="Y",SUMPRODUCT($AX183:$BB183-$AW183:$BA183,BK$7-$AR183:$AV183,N(BK$7&gt;$AR183:$AV183)),BK$7*LOOKUP(BK$7,$AR183:$AV183,$AX183:$BB183))+IF($BE183="Y",$BF183,$BC183)+BK$7*IF($BE183="Y",$BG183,$BD183))*100/BK$7,"")</f>
        <v>13.4411</v>
      </c>
      <c r="BL183" s="30">
        <f t="shared" si="266"/>
        <v>12.035300000000001</v>
      </c>
      <c r="BM183" s="30">
        <f t="shared" si="266"/>
        <v>11.332400000000002</v>
      </c>
      <c r="BN183" s="29">
        <f t="shared" si="266"/>
        <v>11.098099999999999</v>
      </c>
      <c r="BO183" s="85" t="str">
        <f t="shared" si="2"/>
        <v>$$$</v>
      </c>
      <c r="BP183" s="88" t="str">
        <f t="shared" ref="BP183:BP186" si="267">IFERROR(BO183*100/BO$5,"$$$")</f>
        <v>$$$</v>
      </c>
      <c r="BQ183" s="88" t="str">
        <f t="shared" si="4"/>
        <v>$$$</v>
      </c>
      <c r="BR183" s="88" t="str">
        <f t="shared" si="5"/>
        <v>$$$</v>
      </c>
      <c r="BS183" s="29" t="e">
        <f t="shared" ref="BS183:CD186" si="268">IF($CI183,IF(BS$7&gt;0,IF(BS$4&gt;$Q183,$BF183+BS$7*(BS$5+$BG183+$BI183),LOOKUP(BS$7,$AH183:$AL183,$AM183:$AQ183)+IF($AG183="Y",SUMPRODUCT($AX183:$BB183-$AW183:$BA183,BS$7-$AR183:$AV183,N(BS$7&gt;$AR183:$AV183)),BS$7*LOOKUP(BS$7,$AR183:$AV183,$AX183:$BB183))+IF($BE183="Y",$BF183,$BC183)+BS$7*IF($BE183="Y",$BG183,$BD183))*100/BS$7,""),NA())</f>
        <v>#N/A</v>
      </c>
      <c r="BT183" s="29" t="e">
        <f t="shared" si="268"/>
        <v>#N/A</v>
      </c>
      <c r="BU183" s="29" t="e">
        <f t="shared" si="268"/>
        <v>#N/A</v>
      </c>
      <c r="BV183" s="29" t="e">
        <f t="shared" si="268"/>
        <v>#N/A</v>
      </c>
      <c r="BW183" s="29" t="e">
        <f t="shared" si="268"/>
        <v>#N/A</v>
      </c>
      <c r="BX183" s="29" t="e">
        <f t="shared" si="268"/>
        <v>#N/A</v>
      </c>
      <c r="BY183" s="29" t="e">
        <f t="shared" si="268"/>
        <v>#N/A</v>
      </c>
      <c r="BZ183" s="29" t="e">
        <f t="shared" si="268"/>
        <v>#N/A</v>
      </c>
      <c r="CA183" s="29" t="e">
        <f t="shared" si="268"/>
        <v>#N/A</v>
      </c>
      <c r="CB183" s="29" t="e">
        <f t="shared" si="268"/>
        <v>#N/A</v>
      </c>
      <c r="CC183" s="29" t="e">
        <f t="shared" si="268"/>
        <v>#N/A</v>
      </c>
      <c r="CD183" s="29" t="e">
        <f t="shared" si="268"/>
        <v>#N/A</v>
      </c>
      <c r="CE183" s="6" t="str">
        <f t="shared" si="197"/>
        <v/>
      </c>
      <c r="CF183" s="27" t="e">
        <f>IF(AND(CI183,NOT(AD183)),LOOKUP(CF$5,{0,750,1500},H183:J183),"")</f>
        <v>#N/A</v>
      </c>
      <c r="CG183" s="6" t="str">
        <f t="shared" si="198"/>
        <v/>
      </c>
      <c r="CH183" t="e">
        <f t="shared" ref="CH183:CH186" si="269">IF(CI183,IF(ISNUMBER(BO183),BO183,100000)+CV183/10000+IF(ISNUMBER(BJ183),BJ183,2)/10000-P183/100000+ROW()/10000000,"")</f>
        <v>#N/A</v>
      </c>
      <c r="CI183" t="e">
        <f t="shared" ref="CI183:CI186" si="270">PRODUCT(CJ183:CQ183)</f>
        <v>#N/A</v>
      </c>
      <c r="CJ183" s="6" t="e">
        <f t="shared" si="11"/>
        <v>#N/A</v>
      </c>
      <c r="CK183" s="6">
        <f t="shared" si="12"/>
        <v>1</v>
      </c>
      <c r="CL183" s="6">
        <f t="shared" ref="CL183:CL186" si="271">IFERROR(--OR(ISBLANK(CL$5),$BJ183="",AND(ISNUMBER($BJ183),$BJ183&lt;=CL$5)),1)</f>
        <v>1</v>
      </c>
      <c r="CM183" s="6">
        <f t="shared" si="13"/>
        <v>1</v>
      </c>
      <c r="CN183" s="6">
        <f t="shared" si="14"/>
        <v>0</v>
      </c>
      <c r="CO183" s="6">
        <f t="shared" si="15"/>
        <v>1</v>
      </c>
      <c r="CP183" s="6">
        <f t="shared" si="16"/>
        <v>1</v>
      </c>
      <c r="CQ183" s="6">
        <f t="shared" ref="CQ183:CQ186" si="272">IF(CQ$5="Any",1,IF(AND(CQ$5="Med",AV183=0,SUM(AN183:AQ183)=0),1,IF(AND(CQ$5="Low",AV183=0,SUM(AN183:AQ183)=0,AM183=0),1,IF(AND(CQ$5="Flat",AV183=0,SUM(AN183:AQ183)=0,AM183=0,IFERROR(NOT(BE183="Y"),0)),1,0))))</f>
        <v>1</v>
      </c>
      <c r="CR183" s="81" t="str">
        <f t="shared" si="17"/>
        <v/>
      </c>
      <c r="CS183">
        <f t="shared" ref="CS183:CS186" si="273">CS$5*(12/(MIN(12,Q183))-1)</f>
        <v>25.2</v>
      </c>
      <c r="CT183">
        <f t="shared" si="19"/>
        <v>175</v>
      </c>
      <c r="CU183" t="str">
        <f t="shared" ref="CU183:CU186" si="274">IF(AND(ISERR(FIND("remain",$R183)),ISERR(FIND("left",$R183))),"","r")&amp;IF(ISERR(FIND("mon",$R183)),"","m")</f>
        <v/>
      </c>
      <c r="CV183" s="81">
        <f t="shared" ref="CV183:CV186" si="275">CT183*IF(CU183="",1,Q183)</f>
        <v>175</v>
      </c>
      <c r="CW183" s="81">
        <f>(CV183/25)^1.5*(Calculator!$BU$4/10000)*CW$5</f>
        <v>47.821272343654172</v>
      </c>
      <c r="CX183" t="str">
        <f t="shared" ref="CX183:CX186" si="276">"$"&amp;IF(LEFT(CU183,1)="r",CT183&amp;"/"&amp;CU183,CV183)</f>
        <v>$175</v>
      </c>
    </row>
    <row r="184" spans="2:102" x14ac:dyDescent="0.25">
      <c r="B184" s="115" t="s">
        <v>233</v>
      </c>
      <c r="C184" s="13">
        <v>46236.341666666667</v>
      </c>
      <c r="D184">
        <v>17287</v>
      </c>
      <c r="E184" s="54" t="s">
        <v>235</v>
      </c>
      <c r="F184" s="54" t="s">
        <v>568</v>
      </c>
      <c r="G184" s="54" t="s">
        <v>1848</v>
      </c>
      <c r="H184" s="55">
        <v>11.600000000000001</v>
      </c>
      <c r="I184" s="55">
        <v>10.7</v>
      </c>
      <c r="J184" s="55">
        <v>10.199999999999999</v>
      </c>
      <c r="K184" s="54"/>
      <c r="L184" s="56" t="b">
        <v>0</v>
      </c>
      <c r="M184" s="56" t="b">
        <v>0</v>
      </c>
      <c r="N184" s="54">
        <v>1</v>
      </c>
      <c r="O184" s="54" t="s">
        <v>228</v>
      </c>
      <c r="P184" s="54">
        <v>31</v>
      </c>
      <c r="Q184" s="54">
        <v>5</v>
      </c>
      <c r="R184" s="54">
        <v>175</v>
      </c>
      <c r="S184" s="54" t="s">
        <v>569</v>
      </c>
      <c r="T184" s="54" t="s">
        <v>570</v>
      </c>
      <c r="U184" s="54" t="s">
        <v>1835</v>
      </c>
      <c r="V184" s="54" t="s">
        <v>571</v>
      </c>
      <c r="W184" s="54" t="b">
        <v>0</v>
      </c>
      <c r="X184" s="54"/>
      <c r="Y184" s="57" t="s">
        <v>1850</v>
      </c>
      <c r="Z184" s="54" t="s">
        <v>572</v>
      </c>
      <c r="AA184" s="54"/>
      <c r="AB184" s="54" t="s">
        <v>573</v>
      </c>
      <c r="AC184" s="56" t="b">
        <v>1</v>
      </c>
      <c r="AD184" s="56" t="b">
        <v>0</v>
      </c>
      <c r="AE184" s="54" t="s">
        <v>303</v>
      </c>
      <c r="AF184" s="58">
        <v>46236</v>
      </c>
      <c r="AG184" s="62" t="s">
        <v>293</v>
      </c>
      <c r="AH184" s="54">
        <v>0</v>
      </c>
      <c r="AI184" s="54"/>
      <c r="AJ184" s="54"/>
      <c r="AK184" s="54"/>
      <c r="AL184" s="54"/>
      <c r="AM184" s="54">
        <v>9.9980000000000011</v>
      </c>
      <c r="AN184" s="54"/>
      <c r="AO184" s="54"/>
      <c r="AP184" s="54"/>
      <c r="AQ184" s="54"/>
      <c r="AR184" s="54"/>
      <c r="AS184" s="54"/>
      <c r="AT184" s="54"/>
      <c r="AU184" s="54"/>
      <c r="AV184" s="54"/>
      <c r="AW184" s="54"/>
      <c r="AX184" s="59"/>
      <c r="AY184" s="59"/>
      <c r="AZ184" s="59"/>
      <c r="BA184" s="59"/>
      <c r="BB184" s="59">
        <v>4.5999999999999999E-2</v>
      </c>
      <c r="BC184" s="60">
        <v>4.9000000000000004</v>
      </c>
      <c r="BD184" s="61">
        <v>5.1461E-2</v>
      </c>
      <c r="BE184" s="62" t="s">
        <v>293</v>
      </c>
      <c r="BF184" s="35">
        <f t="shared" si="263"/>
        <v>4.9000000000000004</v>
      </c>
      <c r="BG184" s="35">
        <f t="shared" si="263"/>
        <v>5.1461E-2</v>
      </c>
      <c r="BH184" s="35" t="str">
        <f t="shared" si="264"/>
        <v>Med</v>
      </c>
      <c r="BI184" s="110">
        <f t="shared" si="265"/>
        <v>0</v>
      </c>
      <c r="BJ184" s="83">
        <f>VLOOKUP($F184,REP_Info!$D$6:$H$250,5,FALSE)</f>
        <v>1.8620000000000001</v>
      </c>
      <c r="BK184" s="30">
        <f t="shared" si="266"/>
        <v>12.725700000000002</v>
      </c>
      <c r="BL184" s="30">
        <f t="shared" si="266"/>
        <v>11.235900000000001</v>
      </c>
      <c r="BM184" s="30">
        <f t="shared" si="266"/>
        <v>10.491</v>
      </c>
      <c r="BN184" s="29">
        <f t="shared" si="266"/>
        <v>10.242700000000001</v>
      </c>
      <c r="BO184" s="85" t="str">
        <f t="shared" si="2"/>
        <v>$$$</v>
      </c>
      <c r="BP184" s="88" t="str">
        <f t="shared" si="267"/>
        <v>$$$</v>
      </c>
      <c r="BQ184" s="88" t="str">
        <f t="shared" si="4"/>
        <v>$$$</v>
      </c>
      <c r="BR184" s="88" t="str">
        <f t="shared" si="5"/>
        <v>$$$</v>
      </c>
      <c r="BS184" s="29" t="e">
        <f t="shared" si="268"/>
        <v>#N/A</v>
      </c>
      <c r="BT184" s="29" t="e">
        <f t="shared" si="268"/>
        <v>#N/A</v>
      </c>
      <c r="BU184" s="29" t="e">
        <f t="shared" si="268"/>
        <v>#N/A</v>
      </c>
      <c r="BV184" s="29" t="e">
        <f t="shared" si="268"/>
        <v>#N/A</v>
      </c>
      <c r="BW184" s="29" t="e">
        <f t="shared" si="268"/>
        <v>#N/A</v>
      </c>
      <c r="BX184" s="29" t="e">
        <f t="shared" si="268"/>
        <v>#N/A</v>
      </c>
      <c r="BY184" s="29" t="e">
        <f t="shared" si="268"/>
        <v>#N/A</v>
      </c>
      <c r="BZ184" s="29" t="e">
        <f t="shared" si="268"/>
        <v>#N/A</v>
      </c>
      <c r="CA184" s="29" t="e">
        <f t="shared" si="268"/>
        <v>#N/A</v>
      </c>
      <c r="CB184" s="29" t="e">
        <f t="shared" si="268"/>
        <v>#N/A</v>
      </c>
      <c r="CC184" s="29" t="e">
        <f t="shared" si="268"/>
        <v>#N/A</v>
      </c>
      <c r="CD184" s="29" t="e">
        <f t="shared" si="268"/>
        <v>#N/A</v>
      </c>
      <c r="CE184" s="6" t="str">
        <f t="shared" si="197"/>
        <v/>
      </c>
      <c r="CF184" s="27" t="e">
        <f>IF(AND(CI184,NOT(AD184)),LOOKUP(CF$5,{0,750,1500},H184:J184),"")</f>
        <v>#N/A</v>
      </c>
      <c r="CG184" s="6" t="str">
        <f t="shared" si="198"/>
        <v/>
      </c>
      <c r="CH184" t="e">
        <f t="shared" si="269"/>
        <v>#N/A</v>
      </c>
      <c r="CI184" t="e">
        <f t="shared" si="270"/>
        <v>#N/A</v>
      </c>
      <c r="CJ184" s="6" t="e">
        <f t="shared" si="11"/>
        <v>#N/A</v>
      </c>
      <c r="CK184" s="6">
        <f t="shared" si="12"/>
        <v>1</v>
      </c>
      <c r="CL184" s="6">
        <f t="shared" si="271"/>
        <v>1</v>
      </c>
      <c r="CM184" s="6">
        <f t="shared" si="13"/>
        <v>1</v>
      </c>
      <c r="CN184" s="6">
        <f t="shared" si="14"/>
        <v>0</v>
      </c>
      <c r="CO184" s="6">
        <f t="shared" si="15"/>
        <v>1</v>
      </c>
      <c r="CP184" s="6">
        <f t="shared" si="16"/>
        <v>1</v>
      </c>
      <c r="CQ184" s="6">
        <f t="shared" si="272"/>
        <v>1</v>
      </c>
      <c r="CR184" s="81" t="str">
        <f t="shared" si="17"/>
        <v/>
      </c>
      <c r="CS184">
        <f t="shared" si="273"/>
        <v>25.2</v>
      </c>
      <c r="CT184">
        <f t="shared" si="19"/>
        <v>175</v>
      </c>
      <c r="CU184" t="str">
        <f t="shared" si="274"/>
        <v/>
      </c>
      <c r="CV184" s="81">
        <f t="shared" si="275"/>
        <v>175</v>
      </c>
      <c r="CW184" s="81">
        <f>(CV184/25)^1.5*(Calculator!$BU$4/10000)*CW$5</f>
        <v>47.821272343654172</v>
      </c>
      <c r="CX184" t="str">
        <f t="shared" si="276"/>
        <v>$175</v>
      </c>
    </row>
    <row r="185" spans="2:102" x14ac:dyDescent="0.25">
      <c r="B185" s="115" t="s">
        <v>233</v>
      </c>
      <c r="C185" s="13">
        <v>46236.341666666667</v>
      </c>
      <c r="D185">
        <v>24636</v>
      </c>
      <c r="E185" s="54" t="s">
        <v>237</v>
      </c>
      <c r="F185" s="54" t="s">
        <v>568</v>
      </c>
      <c r="G185" s="54" t="s">
        <v>1851</v>
      </c>
      <c r="H185" s="55">
        <v>12.3</v>
      </c>
      <c r="I185" s="55">
        <v>11.5</v>
      </c>
      <c r="J185" s="55">
        <v>11.1</v>
      </c>
      <c r="K185" s="54"/>
      <c r="L185" s="56" t="b">
        <v>0</v>
      </c>
      <c r="M185" s="56" t="b">
        <v>1</v>
      </c>
      <c r="N185" s="54">
        <v>1</v>
      </c>
      <c r="O185" s="54" t="s">
        <v>228</v>
      </c>
      <c r="P185" s="54">
        <v>31</v>
      </c>
      <c r="Q185" s="54">
        <v>5</v>
      </c>
      <c r="R185" s="54">
        <v>175</v>
      </c>
      <c r="S185" s="54" t="s">
        <v>569</v>
      </c>
      <c r="T185" s="54" t="s">
        <v>574</v>
      </c>
      <c r="U185" s="54" t="s">
        <v>1834</v>
      </c>
      <c r="V185" s="54" t="s">
        <v>571</v>
      </c>
      <c r="W185" s="54" t="b">
        <v>0</v>
      </c>
      <c r="X185" s="54"/>
      <c r="Y185" s="57" t="s">
        <v>1852</v>
      </c>
      <c r="Z185" s="54" t="s">
        <v>572</v>
      </c>
      <c r="AA185" s="54"/>
      <c r="AB185" s="54" t="s">
        <v>573</v>
      </c>
      <c r="AC185" s="56" t="b">
        <v>1</v>
      </c>
      <c r="AD185" s="56" t="b">
        <v>0</v>
      </c>
      <c r="AE185" s="54" t="s">
        <v>303</v>
      </c>
      <c r="AF185" s="58">
        <v>46236</v>
      </c>
      <c r="AG185" s="62" t="s">
        <v>293</v>
      </c>
      <c r="AH185" s="54">
        <v>0</v>
      </c>
      <c r="AI185" s="54"/>
      <c r="AJ185" s="54"/>
      <c r="AK185" s="54"/>
      <c r="AL185" s="54"/>
      <c r="AM185" s="54">
        <v>9.9980000000000011</v>
      </c>
      <c r="AN185" s="54"/>
      <c r="AO185" s="54"/>
      <c r="AP185" s="54"/>
      <c r="AQ185" s="54"/>
      <c r="AR185" s="54"/>
      <c r="AS185" s="54"/>
      <c r="AT185" s="54"/>
      <c r="AU185" s="54"/>
      <c r="AV185" s="54"/>
      <c r="AW185" s="54"/>
      <c r="AX185" s="59"/>
      <c r="AY185" s="59"/>
      <c r="AZ185" s="59"/>
      <c r="BA185" s="59"/>
      <c r="BB185" s="59">
        <v>4.5560000000000003E-2</v>
      </c>
      <c r="BC185" s="60">
        <v>4.0599999999999996</v>
      </c>
      <c r="BD185" s="61">
        <v>6.0295000000000001E-2</v>
      </c>
      <c r="BE185" s="62" t="e">
        <v>#N/A</v>
      </c>
      <c r="BF185" s="35">
        <f t="shared" si="263"/>
        <v>4.0600000000000005</v>
      </c>
      <c r="BG185" s="35">
        <f t="shared" si="263"/>
        <v>6.0295000000000001E-2</v>
      </c>
      <c r="BH185" s="35" t="str">
        <f t="shared" si="264"/>
        <v>?</v>
      </c>
      <c r="BI185" s="110">
        <f t="shared" si="265"/>
        <v>0</v>
      </c>
      <c r="BJ185" s="83">
        <f>VLOOKUP($F185,REP_Info!$D$6:$H$250,5,FALSE)</f>
        <v>1.8620000000000001</v>
      </c>
      <c r="BK185" s="30" t="e">
        <f t="shared" si="266"/>
        <v>#N/A</v>
      </c>
      <c r="BL185" s="30" t="e">
        <f t="shared" si="266"/>
        <v>#N/A</v>
      </c>
      <c r="BM185" s="30" t="e">
        <f t="shared" si="266"/>
        <v>#N/A</v>
      </c>
      <c r="BN185" s="29" t="e">
        <f t="shared" si="266"/>
        <v>#N/A</v>
      </c>
      <c r="BO185" s="85" t="str">
        <f t="shared" si="2"/>
        <v>$$$</v>
      </c>
      <c r="BP185" s="88" t="str">
        <f t="shared" si="267"/>
        <v>$$$</v>
      </c>
      <c r="BQ185" s="88" t="str">
        <f t="shared" si="4"/>
        <v>$$$</v>
      </c>
      <c r="BR185" s="88" t="str">
        <f t="shared" si="5"/>
        <v>$$$</v>
      </c>
      <c r="BS185" s="29" t="e">
        <f t="shared" si="268"/>
        <v>#N/A</v>
      </c>
      <c r="BT185" s="29" t="e">
        <f t="shared" si="268"/>
        <v>#N/A</v>
      </c>
      <c r="BU185" s="29" t="e">
        <f t="shared" si="268"/>
        <v>#N/A</v>
      </c>
      <c r="BV185" s="29" t="e">
        <f t="shared" si="268"/>
        <v>#N/A</v>
      </c>
      <c r="BW185" s="29" t="e">
        <f t="shared" si="268"/>
        <v>#N/A</v>
      </c>
      <c r="BX185" s="29" t="e">
        <f t="shared" si="268"/>
        <v>#N/A</v>
      </c>
      <c r="BY185" s="29" t="e">
        <f t="shared" si="268"/>
        <v>#N/A</v>
      </c>
      <c r="BZ185" s="29" t="e">
        <f t="shared" si="268"/>
        <v>#N/A</v>
      </c>
      <c r="CA185" s="29" t="e">
        <f t="shared" si="268"/>
        <v>#N/A</v>
      </c>
      <c r="CB185" s="29" t="e">
        <f t="shared" si="268"/>
        <v>#N/A</v>
      </c>
      <c r="CC185" s="29" t="e">
        <f t="shared" si="268"/>
        <v>#N/A</v>
      </c>
      <c r="CD185" s="29" t="e">
        <f t="shared" si="268"/>
        <v>#N/A</v>
      </c>
      <c r="CE185" s="6" t="str">
        <f t="shared" si="197"/>
        <v/>
      </c>
      <c r="CF185" s="27" t="e">
        <f>IF(AND(CI185,NOT(AD185)),LOOKUP(CF$5,{0,750,1500},H185:J185),"")</f>
        <v>#N/A</v>
      </c>
      <c r="CG185" s="6" t="str">
        <f t="shared" si="198"/>
        <v/>
      </c>
      <c r="CH185" t="e">
        <f t="shared" si="269"/>
        <v>#N/A</v>
      </c>
      <c r="CI185" t="e">
        <f t="shared" si="270"/>
        <v>#N/A</v>
      </c>
      <c r="CJ185" s="6" t="e">
        <f t="shared" si="11"/>
        <v>#N/A</v>
      </c>
      <c r="CK185" s="6">
        <f t="shared" si="12"/>
        <v>1</v>
      </c>
      <c r="CL185" s="6">
        <f t="shared" si="271"/>
        <v>1</v>
      </c>
      <c r="CM185" s="6">
        <f t="shared" si="13"/>
        <v>1</v>
      </c>
      <c r="CN185" s="6">
        <f t="shared" si="14"/>
        <v>0</v>
      </c>
      <c r="CO185" s="6">
        <f t="shared" si="15"/>
        <v>1</v>
      </c>
      <c r="CP185" s="6">
        <f t="shared" si="16"/>
        <v>1</v>
      </c>
      <c r="CQ185" s="6">
        <f t="shared" si="272"/>
        <v>1</v>
      </c>
      <c r="CR185" s="81" t="str">
        <f t="shared" si="17"/>
        <v/>
      </c>
      <c r="CS185">
        <f t="shared" si="273"/>
        <v>25.2</v>
      </c>
      <c r="CT185">
        <f t="shared" si="19"/>
        <v>175</v>
      </c>
      <c r="CU185" t="str">
        <f t="shared" si="274"/>
        <v/>
      </c>
      <c r="CV185" s="81">
        <f t="shared" si="275"/>
        <v>175</v>
      </c>
      <c r="CW185" s="81">
        <f>(CV185/25)^1.5*(Calculator!$BU$4/10000)*CW$5</f>
        <v>47.821272343654172</v>
      </c>
      <c r="CX185" t="str">
        <f t="shared" si="276"/>
        <v>$175</v>
      </c>
    </row>
    <row r="186" spans="2:102" x14ac:dyDescent="0.25">
      <c r="B186" s="115" t="s">
        <v>233</v>
      </c>
      <c r="C186" s="13">
        <v>46236.341666666667</v>
      </c>
      <c r="D186">
        <v>24638</v>
      </c>
      <c r="E186" s="54" t="s">
        <v>235</v>
      </c>
      <c r="F186" s="54" t="s">
        <v>568</v>
      </c>
      <c r="G186" s="54" t="s">
        <v>1851</v>
      </c>
      <c r="H186" s="55">
        <v>11.600000000000001</v>
      </c>
      <c r="I186" s="55">
        <v>10.7</v>
      </c>
      <c r="J186" s="55">
        <v>10.199999999999999</v>
      </c>
      <c r="K186" s="54"/>
      <c r="L186" s="56" t="b">
        <v>0</v>
      </c>
      <c r="M186" s="56" t="b">
        <v>1</v>
      </c>
      <c r="N186" s="54">
        <v>1</v>
      </c>
      <c r="O186" s="54" t="s">
        <v>228</v>
      </c>
      <c r="P186" s="54">
        <v>31</v>
      </c>
      <c r="Q186" s="54">
        <v>5</v>
      </c>
      <c r="R186" s="54">
        <v>175</v>
      </c>
      <c r="S186" s="54" t="s">
        <v>569</v>
      </c>
      <c r="T186" s="54" t="s">
        <v>574</v>
      </c>
      <c r="U186" s="54" t="s">
        <v>1833</v>
      </c>
      <c r="V186" s="54" t="s">
        <v>571</v>
      </c>
      <c r="W186" s="54" t="b">
        <v>0</v>
      </c>
      <c r="X186" s="54"/>
      <c r="Y186" s="57" t="s">
        <v>1853</v>
      </c>
      <c r="Z186" s="54" t="s">
        <v>572</v>
      </c>
      <c r="AA186" s="54"/>
      <c r="AB186" s="54" t="s">
        <v>573</v>
      </c>
      <c r="AC186" s="56" t="b">
        <v>1</v>
      </c>
      <c r="AD186" s="56" t="b">
        <v>0</v>
      </c>
      <c r="AE186" s="54" t="s">
        <v>303</v>
      </c>
      <c r="AF186" s="58">
        <v>46236</v>
      </c>
      <c r="AG186" s="62" t="s">
        <v>293</v>
      </c>
      <c r="AH186" s="54">
        <v>0</v>
      </c>
      <c r="AI186" s="54"/>
      <c r="AJ186" s="54"/>
      <c r="AK186" s="54"/>
      <c r="AL186" s="54"/>
      <c r="AM186" s="54">
        <v>9.9980000000000011</v>
      </c>
      <c r="AN186" s="54"/>
      <c r="AO186" s="54"/>
      <c r="AP186" s="54"/>
      <c r="AQ186" s="54"/>
      <c r="AR186" s="54"/>
      <c r="AS186" s="54"/>
      <c r="AT186" s="54"/>
      <c r="AU186" s="54"/>
      <c r="AV186" s="54"/>
      <c r="AW186" s="54"/>
      <c r="AX186" s="59"/>
      <c r="AY186" s="59"/>
      <c r="AZ186" s="59"/>
      <c r="BA186" s="59"/>
      <c r="BB186" s="59">
        <v>4.6230000000000007E-2</v>
      </c>
      <c r="BC186" s="60">
        <v>4.9000000000000004</v>
      </c>
      <c r="BD186" s="61">
        <v>5.1461E-2</v>
      </c>
      <c r="BE186" s="62" t="e">
        <v>#N/A</v>
      </c>
      <c r="BF186" s="35">
        <f t="shared" si="263"/>
        <v>4.9000000000000004</v>
      </c>
      <c r="BG186" s="35">
        <f t="shared" si="263"/>
        <v>5.1461E-2</v>
      </c>
      <c r="BH186" s="35" t="str">
        <f t="shared" si="264"/>
        <v>?</v>
      </c>
      <c r="BI186" s="110">
        <f t="shared" si="265"/>
        <v>0</v>
      </c>
      <c r="BJ186" s="83">
        <f>VLOOKUP($F186,REP_Info!$D$6:$H$250,5,FALSE)</f>
        <v>1.8620000000000001</v>
      </c>
      <c r="BK186" s="30" t="e">
        <f t="shared" si="266"/>
        <v>#N/A</v>
      </c>
      <c r="BL186" s="30" t="e">
        <f t="shared" si="266"/>
        <v>#N/A</v>
      </c>
      <c r="BM186" s="30" t="e">
        <f t="shared" si="266"/>
        <v>#N/A</v>
      </c>
      <c r="BN186" s="29" t="e">
        <f t="shared" si="266"/>
        <v>#N/A</v>
      </c>
      <c r="BO186" s="85" t="str">
        <f t="shared" si="2"/>
        <v>$$$</v>
      </c>
      <c r="BP186" s="88" t="str">
        <f t="shared" si="267"/>
        <v>$$$</v>
      </c>
      <c r="BQ186" s="88" t="str">
        <f t="shared" si="4"/>
        <v>$$$</v>
      </c>
      <c r="BR186" s="88" t="str">
        <f t="shared" si="5"/>
        <v>$$$</v>
      </c>
      <c r="BS186" s="29" t="e">
        <f t="shared" si="268"/>
        <v>#N/A</v>
      </c>
      <c r="BT186" s="29" t="e">
        <f t="shared" si="268"/>
        <v>#N/A</v>
      </c>
      <c r="BU186" s="29" t="e">
        <f t="shared" si="268"/>
        <v>#N/A</v>
      </c>
      <c r="BV186" s="29" t="e">
        <f t="shared" si="268"/>
        <v>#N/A</v>
      </c>
      <c r="BW186" s="29" t="e">
        <f t="shared" si="268"/>
        <v>#N/A</v>
      </c>
      <c r="BX186" s="29" t="e">
        <f t="shared" si="268"/>
        <v>#N/A</v>
      </c>
      <c r="BY186" s="29" t="e">
        <f t="shared" si="268"/>
        <v>#N/A</v>
      </c>
      <c r="BZ186" s="29" t="e">
        <f t="shared" si="268"/>
        <v>#N/A</v>
      </c>
      <c r="CA186" s="29" t="e">
        <f t="shared" si="268"/>
        <v>#N/A</v>
      </c>
      <c r="CB186" s="29" t="e">
        <f t="shared" si="268"/>
        <v>#N/A</v>
      </c>
      <c r="CC186" s="29" t="e">
        <f t="shared" si="268"/>
        <v>#N/A</v>
      </c>
      <c r="CD186" s="29" t="e">
        <f t="shared" si="268"/>
        <v>#N/A</v>
      </c>
      <c r="CE186" s="6" t="str">
        <f t="shared" si="197"/>
        <v/>
      </c>
      <c r="CF186" s="27" t="e">
        <f>IF(AND(CI186,NOT(AD186)),LOOKUP(CF$5,{0,750,1500},H186:J186),"")</f>
        <v>#N/A</v>
      </c>
      <c r="CG186" s="6" t="str">
        <f t="shared" si="198"/>
        <v/>
      </c>
      <c r="CH186" t="e">
        <f t="shared" si="269"/>
        <v>#N/A</v>
      </c>
      <c r="CI186" t="e">
        <f t="shared" si="270"/>
        <v>#N/A</v>
      </c>
      <c r="CJ186" s="6" t="e">
        <f t="shared" si="11"/>
        <v>#N/A</v>
      </c>
      <c r="CK186" s="6">
        <f t="shared" si="12"/>
        <v>1</v>
      </c>
      <c r="CL186" s="6">
        <f t="shared" si="271"/>
        <v>1</v>
      </c>
      <c r="CM186" s="6">
        <f t="shared" si="13"/>
        <v>1</v>
      </c>
      <c r="CN186" s="6">
        <f t="shared" si="14"/>
        <v>0</v>
      </c>
      <c r="CO186" s="6">
        <f t="shared" si="15"/>
        <v>1</v>
      </c>
      <c r="CP186" s="6">
        <f t="shared" si="16"/>
        <v>1</v>
      </c>
      <c r="CQ186" s="6">
        <f t="shared" si="272"/>
        <v>1</v>
      </c>
      <c r="CR186" s="81" t="str">
        <f t="shared" si="17"/>
        <v/>
      </c>
      <c r="CS186">
        <f t="shared" si="273"/>
        <v>25.2</v>
      </c>
      <c r="CT186">
        <f t="shared" si="19"/>
        <v>175</v>
      </c>
      <c r="CU186" t="str">
        <f t="shared" si="274"/>
        <v/>
      </c>
      <c r="CV186" s="81">
        <f t="shared" si="275"/>
        <v>175</v>
      </c>
      <c r="CW186" s="81">
        <f>(CV186/25)^1.5*(Calculator!$BU$4/10000)*CW$5</f>
        <v>47.821272343654172</v>
      </c>
      <c r="CX186" t="str">
        <f t="shared" si="276"/>
        <v>$175</v>
      </c>
    </row>
    <row r="187" spans="2:102" x14ac:dyDescent="0.25">
      <c r="B187" s="115" t="s">
        <v>233</v>
      </c>
      <c r="C187" s="13">
        <v>46174.569444444445</v>
      </c>
      <c r="D187">
        <v>24642</v>
      </c>
      <c r="E187" s="54" t="s">
        <v>237</v>
      </c>
      <c r="F187" s="54" t="s">
        <v>568</v>
      </c>
      <c r="G187" s="54" t="s">
        <v>575</v>
      </c>
      <c r="H187" s="55">
        <v>24</v>
      </c>
      <c r="I187" s="55">
        <v>11.1</v>
      </c>
      <c r="J187" s="55">
        <v>17.2</v>
      </c>
      <c r="K187" s="54" t="s">
        <v>313</v>
      </c>
      <c r="L187" s="56" t="b">
        <v>0</v>
      </c>
      <c r="M187" s="56" t="b">
        <v>0</v>
      </c>
      <c r="N187" s="54">
        <v>1</v>
      </c>
      <c r="O187" s="54" t="s">
        <v>228</v>
      </c>
      <c r="P187" s="54">
        <v>31</v>
      </c>
      <c r="Q187" s="54">
        <v>12</v>
      </c>
      <c r="R187" s="54">
        <v>175</v>
      </c>
      <c r="S187" s="54" t="s">
        <v>569</v>
      </c>
      <c r="T187" s="54" t="s">
        <v>576</v>
      </c>
      <c r="U187" s="54" t="s">
        <v>577</v>
      </c>
      <c r="V187" s="54" t="s">
        <v>571</v>
      </c>
      <c r="W187" s="54" t="b">
        <v>0</v>
      </c>
      <c r="X187" s="54"/>
      <c r="Y187" s="57" t="s">
        <v>578</v>
      </c>
      <c r="Z187" s="54" t="s">
        <v>579</v>
      </c>
      <c r="AA187" s="54"/>
      <c r="AB187" s="54" t="s">
        <v>573</v>
      </c>
      <c r="AC187" s="56" t="b">
        <v>1</v>
      </c>
      <c r="AD187" s="56" t="b">
        <v>1</v>
      </c>
      <c r="AE187" s="54" t="s">
        <v>303</v>
      </c>
      <c r="AF187" s="58">
        <v>46174</v>
      </c>
      <c r="AG187" s="62" t="s">
        <v>293</v>
      </c>
      <c r="AH187" s="54">
        <v>0</v>
      </c>
      <c r="AI187" s="54">
        <v>1000</v>
      </c>
      <c r="AJ187" s="54"/>
      <c r="AK187" s="54"/>
      <c r="AL187" s="54"/>
      <c r="AM187" s="54">
        <v>0</v>
      </c>
      <c r="AN187" s="54">
        <v>-125</v>
      </c>
      <c r="AO187" s="54"/>
      <c r="AP187" s="54"/>
      <c r="AQ187" s="54"/>
      <c r="AR187" s="54"/>
      <c r="AS187" s="54"/>
      <c r="AT187" s="54"/>
      <c r="AU187" s="54"/>
      <c r="AV187" s="54"/>
      <c r="AW187" s="54"/>
      <c r="AX187" s="59"/>
      <c r="AY187" s="59"/>
      <c r="AZ187" s="59"/>
      <c r="BA187" s="59"/>
      <c r="BB187" s="59">
        <v>0.17</v>
      </c>
      <c r="BC187" s="60">
        <v>4.0599999999999996</v>
      </c>
      <c r="BD187" s="61">
        <v>6.1969999999999997E-2</v>
      </c>
      <c r="BE187" s="62" t="s">
        <v>293</v>
      </c>
      <c r="BF187" s="35">
        <f t="shared" ref="BF187:BG188" si="277">IF($E187=$E$4,BF$4,IF($E187=$E$5,BF$5,""))</f>
        <v>4.0600000000000005</v>
      </c>
      <c r="BG187" s="35">
        <f t="shared" si="277"/>
        <v>6.0295000000000001E-2</v>
      </c>
      <c r="BH187" s="35" t="str">
        <f t="shared" ref="BH187:BH188" si="278">IF(ISTEXT(BE187),IF(AND(AV187=0,SUM(AN187:AQ187)=0),IF(AM187&lt;=0,IF(BE187="Y","Low","Flat"),"Med"),"High"),"?")</f>
        <v>High</v>
      </c>
      <c r="BI187" s="110">
        <f t="shared" ref="BI187:BI188" si="279">IF(ISNUMBER(AH187),0*BI$5*SIN((EDATE($A$3,$Q187)-DATE(YEAR(EDATE($A$3,$Q187)),1,0)-BI$4)*2*PI()/365),"")</f>
        <v>0</v>
      </c>
      <c r="BJ187" s="83">
        <f>VLOOKUP($F187,REP_Info!$D$6:$H$250,5,FALSE)</f>
        <v>1.8620000000000001</v>
      </c>
      <c r="BK187" s="30">
        <f t="shared" ref="BK187:BN188" si="280">IF(BK$7&gt;0,(LOOKUP(BK$7,$AH187:$AL187,$AM187:$AQ187)+IF($AG187="Y",SUMPRODUCT($AX187:$BB187-$AW187:$BA187,BK$7-$AR187:$AV187,N(BK$7&gt;$AR187:$AV187)),BK$7*LOOKUP(BK$7,$AR187:$AV187,$AX187:$BB187))+IF($BE187="Y",$BF187,$BC187)+BK$7*IF($BE187="Y",$BG187,$BD187))*100/BK$7,"")</f>
        <v>23.841500000000003</v>
      </c>
      <c r="BL187" s="30">
        <f t="shared" si="280"/>
        <v>10.935499999999999</v>
      </c>
      <c r="BM187" s="30">
        <f t="shared" si="280"/>
        <v>16.982500000000002</v>
      </c>
      <c r="BN187" s="29">
        <f t="shared" si="280"/>
        <v>18.99816666666667</v>
      </c>
      <c r="BO187" s="85" t="str">
        <f t="shared" si="2"/>
        <v>$$$</v>
      </c>
      <c r="BP187" s="88" t="str">
        <f t="shared" ref="BP187:BP188" si="281">IFERROR(BO187*100/BO$5,"$$$")</f>
        <v>$$$</v>
      </c>
      <c r="BQ187" s="88" t="str">
        <f t="shared" si="4"/>
        <v>$$$</v>
      </c>
      <c r="BR187" s="88" t="str">
        <f t="shared" si="5"/>
        <v>$$$</v>
      </c>
      <c r="BS187" s="29" t="e">
        <f t="shared" ref="BS187:CD188" si="282">IF($CI187,IF(BS$7&gt;0,IF(BS$4&gt;$Q187,$BF187+BS$7*(BS$5+$BG187+$BI187),LOOKUP(BS$7,$AH187:$AL187,$AM187:$AQ187)+IF($AG187="Y",SUMPRODUCT($AX187:$BB187-$AW187:$BA187,BS$7-$AR187:$AV187,N(BS$7&gt;$AR187:$AV187)),BS$7*LOOKUP(BS$7,$AR187:$AV187,$AX187:$BB187))+IF($BE187="Y",$BF187,$BC187)+BS$7*IF($BE187="Y",$BG187,$BD187))*100/BS$7,""),NA())</f>
        <v>#N/A</v>
      </c>
      <c r="BT187" s="29" t="e">
        <f t="shared" si="282"/>
        <v>#N/A</v>
      </c>
      <c r="BU187" s="29" t="e">
        <f t="shared" si="282"/>
        <v>#N/A</v>
      </c>
      <c r="BV187" s="29" t="e">
        <f t="shared" si="282"/>
        <v>#N/A</v>
      </c>
      <c r="BW187" s="29" t="e">
        <f t="shared" si="282"/>
        <v>#N/A</v>
      </c>
      <c r="BX187" s="29" t="e">
        <f t="shared" si="282"/>
        <v>#N/A</v>
      </c>
      <c r="BY187" s="29" t="e">
        <f t="shared" si="282"/>
        <v>#N/A</v>
      </c>
      <c r="BZ187" s="29" t="e">
        <f t="shared" si="282"/>
        <v>#N/A</v>
      </c>
      <c r="CA187" s="29" t="e">
        <f t="shared" si="282"/>
        <v>#N/A</v>
      </c>
      <c r="CB187" s="29" t="e">
        <f t="shared" si="282"/>
        <v>#N/A</v>
      </c>
      <c r="CC187" s="29" t="e">
        <f t="shared" si="282"/>
        <v>#N/A</v>
      </c>
      <c r="CD187" s="29" t="e">
        <f t="shared" si="282"/>
        <v>#N/A</v>
      </c>
      <c r="CE187" s="6" t="str">
        <f t="shared" si="197"/>
        <v/>
      </c>
      <c r="CF187" s="27" t="e">
        <f>IF(AND(CI187,NOT(AD187)),LOOKUP(CF$5,{0,750,1500},H187:J187),"")</f>
        <v>#N/A</v>
      </c>
      <c r="CG187" s="6" t="str">
        <f t="shared" si="198"/>
        <v/>
      </c>
      <c r="CH187" t="e">
        <f t="shared" ref="CH187:CH188" si="283">IF(CI187,IF(ISNUMBER(BO187),BO187,100000)+CV187/10000+IF(ISNUMBER(BJ187),BJ187,2)/10000-P187/100000+ROW()/10000000,"")</f>
        <v>#N/A</v>
      </c>
      <c r="CI187" t="e">
        <f t="shared" ref="CI187:CI188" si="284">PRODUCT(CJ187:CQ187)</f>
        <v>#N/A</v>
      </c>
      <c r="CJ187" s="6" t="e">
        <f t="shared" si="11"/>
        <v>#N/A</v>
      </c>
      <c r="CK187" s="6">
        <f t="shared" si="12"/>
        <v>1</v>
      </c>
      <c r="CL187" s="6">
        <f t="shared" ref="CL187:CL188" si="285">IFERROR(--OR(ISBLANK(CL$5),$BJ187="",AND(ISNUMBER($BJ187),$BJ187&lt;=CL$5)),1)</f>
        <v>1</v>
      </c>
      <c r="CM187" s="6">
        <f t="shared" si="13"/>
        <v>1</v>
      </c>
      <c r="CN187" s="6">
        <f t="shared" si="14"/>
        <v>1</v>
      </c>
      <c r="CO187" s="6">
        <f t="shared" si="15"/>
        <v>1</v>
      </c>
      <c r="CP187" s="6">
        <f t="shared" si="16"/>
        <v>1</v>
      </c>
      <c r="CQ187" s="6">
        <f t="shared" ref="CQ187:CQ188" si="286">IF(CQ$5="Any",1,IF(AND(CQ$5="Med",AV187=0,SUM(AN187:AQ187)=0),1,IF(AND(CQ$5="Low",AV187=0,SUM(AN187:AQ187)=0,AM187=0),1,IF(AND(CQ$5="Flat",AV187=0,SUM(AN187:AQ187)=0,AM187=0,IFERROR(NOT(BE187="Y"),0)),1,0))))</f>
        <v>1</v>
      </c>
      <c r="CR187" s="81" t="str">
        <f t="shared" si="17"/>
        <v/>
      </c>
      <c r="CS187">
        <f t="shared" ref="CS187:CS188" si="287">CS$5*(12/(MIN(12,Q187))-1)</f>
        <v>0</v>
      </c>
      <c r="CT187">
        <f t="shared" si="19"/>
        <v>175</v>
      </c>
      <c r="CU187" t="str">
        <f t="shared" ref="CU187:CU188" si="288">IF(AND(ISERR(FIND("remain",$R187)),ISERR(FIND("left",$R187))),"","r")&amp;IF(ISERR(FIND("mon",$R187)),"","m")</f>
        <v/>
      </c>
      <c r="CV187" s="81">
        <f t="shared" ref="CV187:CV188" si="289">CT187*IF(CU187="",1,Q187)</f>
        <v>175</v>
      </c>
      <c r="CW187" s="81">
        <f>(CV187/25)^1.5*(Calculator!$BU$4/10000)*CW$5</f>
        <v>47.821272343654172</v>
      </c>
      <c r="CX187" t="str">
        <f t="shared" ref="CX187:CX188" si="290">"$"&amp;IF(LEFT(CU187,1)="r",CT187&amp;"/"&amp;CU187,CV187)</f>
        <v>$175</v>
      </c>
    </row>
    <row r="188" spans="2:102" x14ac:dyDescent="0.25">
      <c r="B188" s="115" t="s">
        <v>233</v>
      </c>
      <c r="C188" s="13">
        <v>46174.569444444445</v>
      </c>
      <c r="D188">
        <v>24644</v>
      </c>
      <c r="E188" s="54" t="s">
        <v>235</v>
      </c>
      <c r="F188" s="54" t="s">
        <v>568</v>
      </c>
      <c r="G188" s="54" t="s">
        <v>575</v>
      </c>
      <c r="H188" s="55">
        <v>21.5</v>
      </c>
      <c r="I188" s="55">
        <v>8.5</v>
      </c>
      <c r="J188" s="55">
        <v>14.499999999999998</v>
      </c>
      <c r="K188" s="54" t="s">
        <v>313</v>
      </c>
      <c r="L188" s="56" t="b">
        <v>0</v>
      </c>
      <c r="M188" s="56" t="b">
        <v>0</v>
      </c>
      <c r="N188" s="54">
        <v>1</v>
      </c>
      <c r="O188" s="54" t="s">
        <v>228</v>
      </c>
      <c r="P188" s="54">
        <v>31</v>
      </c>
      <c r="Q188" s="54">
        <v>12</v>
      </c>
      <c r="R188" s="54">
        <v>175</v>
      </c>
      <c r="S188" s="54" t="s">
        <v>569</v>
      </c>
      <c r="T188" s="54" t="s">
        <v>576</v>
      </c>
      <c r="U188" s="54" t="s">
        <v>580</v>
      </c>
      <c r="V188" s="54" t="s">
        <v>571</v>
      </c>
      <c r="W188" s="54" t="b">
        <v>0</v>
      </c>
      <c r="X188" s="54"/>
      <c r="Y188" s="57" t="s">
        <v>581</v>
      </c>
      <c r="Z188" s="54" t="s">
        <v>579</v>
      </c>
      <c r="AA188" s="54"/>
      <c r="AB188" s="54" t="s">
        <v>573</v>
      </c>
      <c r="AC188" s="56" t="b">
        <v>1</v>
      </c>
      <c r="AD188" s="56" t="b">
        <v>1</v>
      </c>
      <c r="AE188" s="54" t="s">
        <v>303</v>
      </c>
      <c r="AF188" s="58">
        <v>46174</v>
      </c>
      <c r="AG188" s="62" t="s">
        <v>293</v>
      </c>
      <c r="AH188" s="54">
        <v>0</v>
      </c>
      <c r="AI188" s="54">
        <v>1000</v>
      </c>
      <c r="AJ188" s="54"/>
      <c r="AK188" s="54"/>
      <c r="AL188" s="54"/>
      <c r="AM188" s="54">
        <v>0</v>
      </c>
      <c r="AN188" s="54">
        <v>-125</v>
      </c>
      <c r="AO188" s="54"/>
      <c r="AP188" s="54"/>
      <c r="AQ188" s="54"/>
      <c r="AR188" s="54"/>
      <c r="AS188" s="54"/>
      <c r="AT188" s="54"/>
      <c r="AU188" s="54"/>
      <c r="AV188" s="54"/>
      <c r="AW188" s="54"/>
      <c r="AX188" s="59"/>
      <c r="AY188" s="59"/>
      <c r="AZ188" s="59"/>
      <c r="BA188" s="59"/>
      <c r="BB188" s="59">
        <v>0.154</v>
      </c>
      <c r="BC188" s="60">
        <v>4.9000000000000004</v>
      </c>
      <c r="BD188" s="61">
        <v>5.1461E-2</v>
      </c>
      <c r="BE188" s="62" t="s">
        <v>293</v>
      </c>
      <c r="BF188" s="35">
        <f t="shared" si="277"/>
        <v>4.9000000000000004</v>
      </c>
      <c r="BG188" s="35">
        <f t="shared" si="277"/>
        <v>5.1461E-2</v>
      </c>
      <c r="BH188" s="35" t="str">
        <f t="shared" si="278"/>
        <v>High</v>
      </c>
      <c r="BI188" s="110">
        <f t="shared" si="279"/>
        <v>0</v>
      </c>
      <c r="BJ188" s="83">
        <f>VLOOKUP($F188,REP_Info!$D$6:$H$250,5,FALSE)</f>
        <v>1.8620000000000001</v>
      </c>
      <c r="BK188" s="30">
        <f t="shared" si="280"/>
        <v>21.526100000000003</v>
      </c>
      <c r="BL188" s="30">
        <f t="shared" si="280"/>
        <v>8.5360999999999994</v>
      </c>
      <c r="BM188" s="30">
        <f t="shared" si="280"/>
        <v>14.5411</v>
      </c>
      <c r="BN188" s="29">
        <f t="shared" si="280"/>
        <v>16.542766666666669</v>
      </c>
      <c r="BO188" s="85" t="str">
        <f t="shared" si="2"/>
        <v>$$$</v>
      </c>
      <c r="BP188" s="88" t="str">
        <f t="shared" si="281"/>
        <v>$$$</v>
      </c>
      <c r="BQ188" s="88" t="str">
        <f t="shared" si="4"/>
        <v>$$$</v>
      </c>
      <c r="BR188" s="88" t="str">
        <f t="shared" si="5"/>
        <v>$$$</v>
      </c>
      <c r="BS188" s="29" t="e">
        <f t="shared" si="282"/>
        <v>#N/A</v>
      </c>
      <c r="BT188" s="29" t="e">
        <f t="shared" si="282"/>
        <v>#N/A</v>
      </c>
      <c r="BU188" s="29" t="e">
        <f t="shared" si="282"/>
        <v>#N/A</v>
      </c>
      <c r="BV188" s="29" t="e">
        <f t="shared" si="282"/>
        <v>#N/A</v>
      </c>
      <c r="BW188" s="29" t="e">
        <f t="shared" si="282"/>
        <v>#N/A</v>
      </c>
      <c r="BX188" s="29" t="e">
        <f t="shared" si="282"/>
        <v>#N/A</v>
      </c>
      <c r="BY188" s="29" t="e">
        <f t="shared" si="282"/>
        <v>#N/A</v>
      </c>
      <c r="BZ188" s="29" t="e">
        <f t="shared" si="282"/>
        <v>#N/A</v>
      </c>
      <c r="CA188" s="29" t="e">
        <f t="shared" si="282"/>
        <v>#N/A</v>
      </c>
      <c r="CB188" s="29" t="e">
        <f t="shared" si="282"/>
        <v>#N/A</v>
      </c>
      <c r="CC188" s="29" t="e">
        <f t="shared" si="282"/>
        <v>#N/A</v>
      </c>
      <c r="CD188" s="29" t="e">
        <f t="shared" si="282"/>
        <v>#N/A</v>
      </c>
      <c r="CE188" s="6" t="str">
        <f t="shared" si="197"/>
        <v/>
      </c>
      <c r="CF188" s="27" t="e">
        <f>IF(AND(CI188,NOT(AD188)),LOOKUP(CF$5,{0,750,1500},H188:J188),"")</f>
        <v>#N/A</v>
      </c>
      <c r="CG188" s="6" t="str">
        <f t="shared" si="198"/>
        <v/>
      </c>
      <c r="CH188" t="e">
        <f t="shared" si="283"/>
        <v>#N/A</v>
      </c>
      <c r="CI188" t="e">
        <f t="shared" si="284"/>
        <v>#N/A</v>
      </c>
      <c r="CJ188" s="6" t="e">
        <f t="shared" si="11"/>
        <v>#N/A</v>
      </c>
      <c r="CK188" s="6">
        <f t="shared" si="12"/>
        <v>1</v>
      </c>
      <c r="CL188" s="6">
        <f t="shared" si="285"/>
        <v>1</v>
      </c>
      <c r="CM188" s="6">
        <f t="shared" si="13"/>
        <v>1</v>
      </c>
      <c r="CN188" s="6">
        <f t="shared" si="14"/>
        <v>1</v>
      </c>
      <c r="CO188" s="6">
        <f t="shared" si="15"/>
        <v>1</v>
      </c>
      <c r="CP188" s="6">
        <f t="shared" si="16"/>
        <v>1</v>
      </c>
      <c r="CQ188" s="6">
        <f t="shared" si="286"/>
        <v>1</v>
      </c>
      <c r="CR188" s="81" t="str">
        <f t="shared" si="17"/>
        <v/>
      </c>
      <c r="CS188">
        <f t="shared" si="287"/>
        <v>0</v>
      </c>
      <c r="CT188">
        <f t="shared" si="19"/>
        <v>175</v>
      </c>
      <c r="CU188" t="str">
        <f t="shared" si="288"/>
        <v/>
      </c>
      <c r="CV188" s="81">
        <f t="shared" si="289"/>
        <v>175</v>
      </c>
      <c r="CW188" s="81">
        <f>(CV188/25)^1.5*(Calculator!$BU$4/10000)*CW$5</f>
        <v>47.821272343654172</v>
      </c>
      <c r="CX188" t="str">
        <f t="shared" si="290"/>
        <v>$175</v>
      </c>
    </row>
    <row r="189" spans="2:102" x14ac:dyDescent="0.25">
      <c r="B189" s="115" t="s">
        <v>233</v>
      </c>
      <c r="C189" s="13">
        <v>46174.569444444445</v>
      </c>
      <c r="D189">
        <v>31955</v>
      </c>
      <c r="E189" s="54" t="s">
        <v>237</v>
      </c>
      <c r="F189" s="54" t="s">
        <v>568</v>
      </c>
      <c r="G189" s="54" t="s">
        <v>582</v>
      </c>
      <c r="H189" s="55">
        <v>16.3</v>
      </c>
      <c r="I189" s="55">
        <v>15.9</v>
      </c>
      <c r="J189" s="55">
        <v>15.7</v>
      </c>
      <c r="K189" s="54"/>
      <c r="L189" s="56" t="b">
        <v>0</v>
      </c>
      <c r="M189" s="56" t="b">
        <v>0</v>
      </c>
      <c r="N189" s="54">
        <v>1</v>
      </c>
      <c r="O189" s="54" t="s">
        <v>228</v>
      </c>
      <c r="P189" s="54">
        <v>31</v>
      </c>
      <c r="Q189" s="54">
        <v>60</v>
      </c>
      <c r="R189" s="54">
        <v>175</v>
      </c>
      <c r="S189" s="54" t="s">
        <v>569</v>
      </c>
      <c r="T189" s="54" t="s">
        <v>583</v>
      </c>
      <c r="U189" s="54" t="s">
        <v>584</v>
      </c>
      <c r="V189" s="54" t="s">
        <v>571</v>
      </c>
      <c r="W189" s="54" t="b">
        <v>0</v>
      </c>
      <c r="X189" s="54"/>
      <c r="Y189" s="57" t="s">
        <v>585</v>
      </c>
      <c r="Z189" s="54" t="s">
        <v>586</v>
      </c>
      <c r="AA189" s="54"/>
      <c r="AB189" s="54" t="s">
        <v>573</v>
      </c>
      <c r="AC189" s="56" t="b">
        <v>1</v>
      </c>
      <c r="AD189" s="56" t="b">
        <v>0</v>
      </c>
      <c r="AE189" s="54" t="s">
        <v>303</v>
      </c>
      <c r="AF189" s="58">
        <v>46174</v>
      </c>
      <c r="AG189" s="62" t="s">
        <v>293</v>
      </c>
      <c r="AH189" s="54">
        <v>0</v>
      </c>
      <c r="AI189" s="54"/>
      <c r="AJ189" s="54"/>
      <c r="AK189" s="54"/>
      <c r="AL189" s="54"/>
      <c r="AM189" s="54">
        <v>0</v>
      </c>
      <c r="AN189" s="54"/>
      <c r="AO189" s="54"/>
      <c r="AP189" s="54"/>
      <c r="AQ189" s="54"/>
      <c r="AR189" s="54"/>
      <c r="AS189" s="54"/>
      <c r="AT189" s="54"/>
      <c r="AU189" s="54"/>
      <c r="AV189" s="54"/>
      <c r="AW189" s="54"/>
      <c r="AX189" s="59"/>
      <c r="AY189" s="59"/>
      <c r="AZ189" s="59"/>
      <c r="BA189" s="59"/>
      <c r="BB189" s="59">
        <v>9.2999999999999999E-2</v>
      </c>
      <c r="BC189" s="60">
        <v>4.0599999999999996</v>
      </c>
      <c r="BD189" s="61">
        <v>6.1969999999999997E-2</v>
      </c>
      <c r="BE189" s="62" t="s">
        <v>293</v>
      </c>
      <c r="BF189" s="35">
        <f t="shared" si="0"/>
        <v>4.0600000000000005</v>
      </c>
      <c r="BG189" s="35">
        <f t="shared" si="0"/>
        <v>6.0295000000000001E-2</v>
      </c>
      <c r="BH189" s="35" t="str">
        <f t="shared" ref="BH189:BH205" si="291">IF(ISTEXT(BE189),IF(AND(AV189=0,SUM(AN189:AQ189)=0),IF(AM189&lt;=0,IF(BE189="Y","Low","Flat"),"Med"),"High"),"?")</f>
        <v>Low</v>
      </c>
      <c r="BI189" s="110">
        <f t="shared" ref="BI189:BI205" si="292">IF(ISNUMBER(AH189),0*BI$5*SIN((EDATE($A$3,$Q189)-DATE(YEAR(EDATE($A$3,$Q189)),1,0)-BI$4)*2*PI()/365),"")</f>
        <v>0</v>
      </c>
      <c r="BJ189" s="83">
        <f>VLOOKUP($F189,REP_Info!$D$6:$H$250,5,FALSE)</f>
        <v>1.8620000000000001</v>
      </c>
      <c r="BK189" s="30">
        <f t="shared" ref="BK189:BN205" si="293">IF(BK$7&gt;0,(LOOKUP(BK$7,$AH189:$AL189,$AM189:$AQ189)+IF($AG189="Y",SUMPRODUCT($AX189:$BB189-$AW189:$BA189,BK$7-$AR189:$AV189,N(BK$7&gt;$AR189:$AV189)),BK$7*LOOKUP(BK$7,$AR189:$AV189,$AX189:$BB189))+IF($BE189="Y",$BF189,$BC189)+BK$7*IF($BE189="Y",$BG189,$BD189))*100/BK$7,"")</f>
        <v>16.141500000000001</v>
      </c>
      <c r="BL189" s="30">
        <f t="shared" si="293"/>
        <v>15.735500000000002</v>
      </c>
      <c r="BM189" s="30">
        <f t="shared" si="293"/>
        <v>15.532499999999999</v>
      </c>
      <c r="BN189" s="29">
        <f t="shared" si="293"/>
        <v>15.464833333333333</v>
      </c>
      <c r="BO189" s="85" t="str">
        <f t="shared" si="2"/>
        <v>$$$</v>
      </c>
      <c r="BP189" s="88" t="str">
        <f t="shared" ref="BP189:BP205" si="294">IFERROR(BO189*100/BO$5,"$$$")</f>
        <v>$$$</v>
      </c>
      <c r="BQ189" s="88" t="str">
        <f t="shared" si="4"/>
        <v>$$$</v>
      </c>
      <c r="BR189" s="88" t="str">
        <f t="shared" si="5"/>
        <v>$$$</v>
      </c>
      <c r="BS189" s="29" t="e">
        <f t="shared" ref="BS189:CD205" si="295">IF($CI189,IF(BS$7&gt;0,IF(BS$4&gt;$Q189,$BF189+BS$7*(BS$5+$BG189+$BI189),LOOKUP(BS$7,$AH189:$AL189,$AM189:$AQ189)+IF($AG189="Y",SUMPRODUCT($AX189:$BB189-$AW189:$BA189,BS$7-$AR189:$AV189,N(BS$7&gt;$AR189:$AV189)),BS$7*LOOKUP(BS$7,$AR189:$AV189,$AX189:$BB189))+IF($BE189="Y",$BF189,$BC189)+BS$7*IF($BE189="Y",$BG189,$BD189))*100/BS$7,""),NA())</f>
        <v>#N/A</v>
      </c>
      <c r="BT189" s="29" t="e">
        <f t="shared" si="295"/>
        <v>#N/A</v>
      </c>
      <c r="BU189" s="29" t="e">
        <f t="shared" si="295"/>
        <v>#N/A</v>
      </c>
      <c r="BV189" s="29" t="e">
        <f t="shared" si="295"/>
        <v>#N/A</v>
      </c>
      <c r="BW189" s="29" t="e">
        <f t="shared" si="295"/>
        <v>#N/A</v>
      </c>
      <c r="BX189" s="29" t="e">
        <f t="shared" si="295"/>
        <v>#N/A</v>
      </c>
      <c r="BY189" s="29" t="e">
        <f t="shared" si="295"/>
        <v>#N/A</v>
      </c>
      <c r="BZ189" s="29" t="e">
        <f t="shared" si="295"/>
        <v>#N/A</v>
      </c>
      <c r="CA189" s="29" t="e">
        <f t="shared" si="295"/>
        <v>#N/A</v>
      </c>
      <c r="CB189" s="29" t="e">
        <f t="shared" si="295"/>
        <v>#N/A</v>
      </c>
      <c r="CC189" s="29" t="e">
        <f t="shared" si="295"/>
        <v>#N/A</v>
      </c>
      <c r="CD189" s="29" t="e">
        <f t="shared" si="295"/>
        <v>#N/A</v>
      </c>
      <c r="CE189" s="6" t="str">
        <f t="shared" si="197"/>
        <v/>
      </c>
      <c r="CF189" s="27" t="e">
        <f>IF(AND(CI189,NOT(AD189)),LOOKUP(CF$5,{0,750,1500},H189:J189),"")</f>
        <v>#N/A</v>
      </c>
      <c r="CG189" s="6" t="str">
        <f t="shared" si="198"/>
        <v/>
      </c>
      <c r="CH189" t="e">
        <f t="shared" ref="CH189:CH205" si="296">IF(CI189,IF(ISNUMBER(BO189),BO189,100000)+CV189/10000+IF(ISNUMBER(BJ189),BJ189,2)/10000-P189/100000+ROW()/10000000,"")</f>
        <v>#N/A</v>
      </c>
      <c r="CI189" t="e">
        <f t="shared" ref="CI189:CI205" si="297">PRODUCT(CJ189:CQ189)</f>
        <v>#N/A</v>
      </c>
      <c r="CJ189" s="6" t="e">
        <f t="shared" si="11"/>
        <v>#N/A</v>
      </c>
      <c r="CK189" s="6">
        <f t="shared" si="12"/>
        <v>1</v>
      </c>
      <c r="CL189" s="6">
        <f t="shared" si="26"/>
        <v>1</v>
      </c>
      <c r="CM189" s="6">
        <f t="shared" si="13"/>
        <v>1</v>
      </c>
      <c r="CN189" s="6">
        <f t="shared" si="14"/>
        <v>1</v>
      </c>
      <c r="CO189" s="6">
        <f t="shared" si="15"/>
        <v>0</v>
      </c>
      <c r="CP189" s="6">
        <f t="shared" si="16"/>
        <v>1</v>
      </c>
      <c r="CQ189" s="6">
        <f t="shared" ref="CQ189:CQ205" si="298">IF(CQ$5="Any",1,IF(AND(CQ$5="Med",AV189=0,SUM(AN189:AQ189)=0),1,IF(AND(CQ$5="Low",AV189=0,SUM(AN189:AQ189)=0,AM189=0),1,IF(AND(CQ$5="Flat",AV189=0,SUM(AN189:AQ189)=0,AM189=0,IFERROR(NOT(BE189="Y"),0)),1,0))))</f>
        <v>1</v>
      </c>
      <c r="CR189" s="81" t="str">
        <f t="shared" si="17"/>
        <v/>
      </c>
      <c r="CS189">
        <f t="shared" ref="CS189:CS205" si="299">CS$5*(12/(MIN(12,Q189))-1)</f>
        <v>0</v>
      </c>
      <c r="CT189">
        <f t="shared" si="19"/>
        <v>175</v>
      </c>
      <c r="CU189" t="str">
        <f t="shared" si="29"/>
        <v/>
      </c>
      <c r="CV189" s="81">
        <f t="shared" ref="CV189:CV205" si="300">CT189*IF(CU189="",1,Q189)</f>
        <v>175</v>
      </c>
      <c r="CW189" s="81">
        <f>(CV189/25)^1.5*(Calculator!$BU$4/10000)*CW$5</f>
        <v>47.821272343654172</v>
      </c>
      <c r="CX189" t="str">
        <f t="shared" ref="CX189:CX205" si="301">"$"&amp;IF(LEFT(CU189,1)="r",CT189&amp;"/"&amp;CU189,CV189)</f>
        <v>$175</v>
      </c>
    </row>
    <row r="190" spans="2:102" x14ac:dyDescent="0.25">
      <c r="B190" s="115" t="s">
        <v>233</v>
      </c>
      <c r="C190" s="13">
        <v>46174.569444444445</v>
      </c>
      <c r="D190">
        <v>31957</v>
      </c>
      <c r="E190" s="54" t="s">
        <v>235</v>
      </c>
      <c r="F190" s="54" t="s">
        <v>568</v>
      </c>
      <c r="G190" s="54" t="s">
        <v>582</v>
      </c>
      <c r="H190" s="55">
        <v>15.4</v>
      </c>
      <c r="I190" s="55">
        <v>14.899999999999999</v>
      </c>
      <c r="J190" s="55">
        <v>14.7</v>
      </c>
      <c r="K190" s="54"/>
      <c r="L190" s="56" t="b">
        <v>0</v>
      </c>
      <c r="M190" s="56" t="b">
        <v>0</v>
      </c>
      <c r="N190" s="54">
        <v>1</v>
      </c>
      <c r="O190" s="54" t="s">
        <v>228</v>
      </c>
      <c r="P190" s="54">
        <v>31</v>
      </c>
      <c r="Q190" s="54">
        <v>60</v>
      </c>
      <c r="R190" s="54">
        <v>175</v>
      </c>
      <c r="S190" s="54" t="s">
        <v>569</v>
      </c>
      <c r="T190" s="54" t="s">
        <v>583</v>
      </c>
      <c r="U190" s="54" t="s">
        <v>587</v>
      </c>
      <c r="V190" s="54" t="s">
        <v>571</v>
      </c>
      <c r="W190" s="54" t="b">
        <v>0</v>
      </c>
      <c r="X190" s="54"/>
      <c r="Y190" s="57" t="s">
        <v>588</v>
      </c>
      <c r="Z190" s="54" t="s">
        <v>586</v>
      </c>
      <c r="AA190" s="54"/>
      <c r="AB190" s="54" t="s">
        <v>573</v>
      </c>
      <c r="AC190" s="56" t="b">
        <v>1</v>
      </c>
      <c r="AD190" s="56" t="b">
        <v>0</v>
      </c>
      <c r="AE190" s="54" t="s">
        <v>303</v>
      </c>
      <c r="AF190" s="58">
        <v>46174</v>
      </c>
      <c r="AG190" s="62" t="s">
        <v>293</v>
      </c>
      <c r="AH190" s="54">
        <v>0</v>
      </c>
      <c r="AI190" s="54"/>
      <c r="AJ190" s="54"/>
      <c r="AK190" s="54"/>
      <c r="AL190" s="54"/>
      <c r="AM190" s="54">
        <v>0</v>
      </c>
      <c r="AN190" s="54"/>
      <c r="AO190" s="54"/>
      <c r="AP190" s="54"/>
      <c r="AQ190" s="54"/>
      <c r="AR190" s="54"/>
      <c r="AS190" s="54"/>
      <c r="AT190" s="54"/>
      <c r="AU190" s="54"/>
      <c r="AV190" s="54"/>
      <c r="AW190" s="54"/>
      <c r="AX190" s="59"/>
      <c r="AY190" s="59"/>
      <c r="AZ190" s="59"/>
      <c r="BA190" s="59"/>
      <c r="BB190" s="59">
        <v>9.2999999999999999E-2</v>
      </c>
      <c r="BC190" s="60">
        <v>4.9000000000000004</v>
      </c>
      <c r="BD190" s="61">
        <v>5.1461E-2</v>
      </c>
      <c r="BE190" s="62" t="s">
        <v>293</v>
      </c>
      <c r="BF190" s="35">
        <f t="shared" si="0"/>
        <v>4.9000000000000004</v>
      </c>
      <c r="BG190" s="35">
        <f t="shared" si="0"/>
        <v>5.1461E-2</v>
      </c>
      <c r="BH190" s="35" t="str">
        <f t="shared" si="291"/>
        <v>Low</v>
      </c>
      <c r="BI190" s="110">
        <f t="shared" si="292"/>
        <v>0</v>
      </c>
      <c r="BJ190" s="83">
        <f>VLOOKUP($F190,REP_Info!$D$6:$H$250,5,FALSE)</f>
        <v>1.8620000000000001</v>
      </c>
      <c r="BK190" s="30">
        <f t="shared" si="293"/>
        <v>15.4261</v>
      </c>
      <c r="BL190" s="30">
        <f t="shared" si="293"/>
        <v>14.936099999999998</v>
      </c>
      <c r="BM190" s="30">
        <f t="shared" si="293"/>
        <v>14.6911</v>
      </c>
      <c r="BN190" s="29">
        <f t="shared" si="293"/>
        <v>14.609433333333333</v>
      </c>
      <c r="BO190" s="85" t="str">
        <f t="shared" si="2"/>
        <v>$$$</v>
      </c>
      <c r="BP190" s="88" t="str">
        <f t="shared" si="294"/>
        <v>$$$</v>
      </c>
      <c r="BQ190" s="88" t="str">
        <f t="shared" si="4"/>
        <v>$$$</v>
      </c>
      <c r="BR190" s="88" t="str">
        <f t="shared" si="5"/>
        <v>$$$</v>
      </c>
      <c r="BS190" s="29" t="e">
        <f t="shared" si="295"/>
        <v>#N/A</v>
      </c>
      <c r="BT190" s="29" t="e">
        <f t="shared" si="295"/>
        <v>#N/A</v>
      </c>
      <c r="BU190" s="29" t="e">
        <f t="shared" si="295"/>
        <v>#N/A</v>
      </c>
      <c r="BV190" s="29" t="e">
        <f t="shared" si="295"/>
        <v>#N/A</v>
      </c>
      <c r="BW190" s="29" t="e">
        <f t="shared" si="295"/>
        <v>#N/A</v>
      </c>
      <c r="BX190" s="29" t="e">
        <f t="shared" si="295"/>
        <v>#N/A</v>
      </c>
      <c r="BY190" s="29" t="e">
        <f t="shared" si="295"/>
        <v>#N/A</v>
      </c>
      <c r="BZ190" s="29" t="e">
        <f t="shared" si="295"/>
        <v>#N/A</v>
      </c>
      <c r="CA190" s="29" t="e">
        <f t="shared" si="295"/>
        <v>#N/A</v>
      </c>
      <c r="CB190" s="29" t="e">
        <f t="shared" si="295"/>
        <v>#N/A</v>
      </c>
      <c r="CC190" s="29" t="e">
        <f t="shared" si="295"/>
        <v>#N/A</v>
      </c>
      <c r="CD190" s="29" t="e">
        <f t="shared" si="295"/>
        <v>#N/A</v>
      </c>
      <c r="CE190" s="6" t="str">
        <f t="shared" si="197"/>
        <v/>
      </c>
      <c r="CF190" s="27" t="e">
        <f>IF(AND(CI190,NOT(AD190)),LOOKUP(CF$5,{0,750,1500},H190:J190),"")</f>
        <v>#N/A</v>
      </c>
      <c r="CG190" s="6" t="str">
        <f t="shared" si="198"/>
        <v/>
      </c>
      <c r="CH190" t="e">
        <f t="shared" si="296"/>
        <v>#N/A</v>
      </c>
      <c r="CI190" t="e">
        <f t="shared" si="297"/>
        <v>#N/A</v>
      </c>
      <c r="CJ190" s="6" t="e">
        <f t="shared" si="11"/>
        <v>#N/A</v>
      </c>
      <c r="CK190" s="6">
        <f t="shared" si="12"/>
        <v>1</v>
      </c>
      <c r="CL190" s="6">
        <f t="shared" si="26"/>
        <v>1</v>
      </c>
      <c r="CM190" s="6">
        <f t="shared" si="13"/>
        <v>1</v>
      </c>
      <c r="CN190" s="6">
        <f t="shared" si="14"/>
        <v>1</v>
      </c>
      <c r="CO190" s="6">
        <f t="shared" si="15"/>
        <v>0</v>
      </c>
      <c r="CP190" s="6">
        <f t="shared" si="16"/>
        <v>1</v>
      </c>
      <c r="CQ190" s="6">
        <f t="shared" si="298"/>
        <v>1</v>
      </c>
      <c r="CR190" s="81" t="str">
        <f t="shared" si="17"/>
        <v/>
      </c>
      <c r="CS190">
        <f t="shared" si="299"/>
        <v>0</v>
      </c>
      <c r="CT190">
        <f t="shared" si="19"/>
        <v>175</v>
      </c>
      <c r="CU190" t="str">
        <f t="shared" si="29"/>
        <v/>
      </c>
      <c r="CV190" s="81">
        <f t="shared" si="300"/>
        <v>175</v>
      </c>
      <c r="CW190" s="81">
        <f>(CV190/25)^1.5*(Calculator!$BU$4/10000)*CW$5</f>
        <v>47.821272343654172</v>
      </c>
      <c r="CX190" t="str">
        <f t="shared" si="301"/>
        <v>$175</v>
      </c>
    </row>
    <row r="191" spans="2:102" x14ac:dyDescent="0.25">
      <c r="B191" s="115" t="s">
        <v>233</v>
      </c>
      <c r="C191" s="13">
        <v>46174.569444444445</v>
      </c>
      <c r="D191">
        <v>33606</v>
      </c>
      <c r="E191" s="54" t="s">
        <v>237</v>
      </c>
      <c r="F191" s="54" t="s">
        <v>568</v>
      </c>
      <c r="G191" s="54" t="s">
        <v>327</v>
      </c>
      <c r="H191" s="55">
        <v>16.3</v>
      </c>
      <c r="I191" s="55">
        <v>15.9</v>
      </c>
      <c r="J191" s="55">
        <v>15.7</v>
      </c>
      <c r="K191" s="54"/>
      <c r="L191" s="56" t="b">
        <v>0</v>
      </c>
      <c r="M191" s="56" t="b">
        <v>0</v>
      </c>
      <c r="N191" s="54">
        <v>1</v>
      </c>
      <c r="O191" s="54" t="s">
        <v>228</v>
      </c>
      <c r="P191" s="54">
        <v>31</v>
      </c>
      <c r="Q191" s="54">
        <v>24</v>
      </c>
      <c r="R191" s="54">
        <v>175</v>
      </c>
      <c r="S191" s="54" t="s">
        <v>569</v>
      </c>
      <c r="T191" s="54" t="s">
        <v>583</v>
      </c>
      <c r="U191" s="54" t="s">
        <v>589</v>
      </c>
      <c r="V191" s="54" t="s">
        <v>571</v>
      </c>
      <c r="W191" s="54" t="b">
        <v>0</v>
      </c>
      <c r="X191" s="54"/>
      <c r="Y191" s="57" t="s">
        <v>590</v>
      </c>
      <c r="Z191" s="54" t="s">
        <v>586</v>
      </c>
      <c r="AA191" s="54"/>
      <c r="AB191" s="54" t="s">
        <v>573</v>
      </c>
      <c r="AC191" s="56" t="b">
        <v>1</v>
      </c>
      <c r="AD191" s="56" t="b">
        <v>0</v>
      </c>
      <c r="AE191" s="54" t="s">
        <v>303</v>
      </c>
      <c r="AF191" s="58">
        <v>46174</v>
      </c>
      <c r="AG191" s="62" t="s">
        <v>293</v>
      </c>
      <c r="AH191" s="54">
        <v>0</v>
      </c>
      <c r="AI191" s="54"/>
      <c r="AJ191" s="54"/>
      <c r="AK191" s="54"/>
      <c r="AL191" s="54"/>
      <c r="AM191" s="54">
        <v>0</v>
      </c>
      <c r="AN191" s="54"/>
      <c r="AO191" s="54"/>
      <c r="AP191" s="54"/>
      <c r="AQ191" s="54"/>
      <c r="AR191" s="54"/>
      <c r="AS191" s="54"/>
      <c r="AT191" s="54"/>
      <c r="AU191" s="54"/>
      <c r="AV191" s="54"/>
      <c r="AW191" s="54"/>
      <c r="AX191" s="59"/>
      <c r="AY191" s="59"/>
      <c r="AZ191" s="59"/>
      <c r="BA191" s="59"/>
      <c r="BB191" s="59">
        <v>9.2999999999999999E-2</v>
      </c>
      <c r="BC191" s="60">
        <v>4.0599999999999996</v>
      </c>
      <c r="BD191" s="61">
        <v>6.1969999999999997E-2</v>
      </c>
      <c r="BE191" s="62" t="s">
        <v>293</v>
      </c>
      <c r="BF191" s="35">
        <f t="shared" ref="BF191:BG205" si="302">IF($E191=$E$4,BF$4,IF($E191=$E$5,BF$5,""))</f>
        <v>4.0600000000000005</v>
      </c>
      <c r="BG191" s="35">
        <f t="shared" si="302"/>
        <v>6.0295000000000001E-2</v>
      </c>
      <c r="BH191" s="35" t="str">
        <f t="shared" si="291"/>
        <v>Low</v>
      </c>
      <c r="BI191" s="110">
        <f t="shared" si="292"/>
        <v>0</v>
      </c>
      <c r="BJ191" s="83">
        <f>VLOOKUP($F191,REP_Info!$D$6:$H$250,5,FALSE)</f>
        <v>1.8620000000000001</v>
      </c>
      <c r="BK191" s="30">
        <f t="shared" si="293"/>
        <v>16.141500000000001</v>
      </c>
      <c r="BL191" s="30">
        <f t="shared" si="293"/>
        <v>15.735500000000002</v>
      </c>
      <c r="BM191" s="30">
        <f t="shared" si="293"/>
        <v>15.532499999999999</v>
      </c>
      <c r="BN191" s="29">
        <f t="shared" si="293"/>
        <v>15.464833333333333</v>
      </c>
      <c r="BO191" s="85" t="str">
        <f t="shared" si="2"/>
        <v>$$$</v>
      </c>
      <c r="BP191" s="88" t="str">
        <f t="shared" si="294"/>
        <v>$$$</v>
      </c>
      <c r="BQ191" s="88" t="str">
        <f t="shared" si="4"/>
        <v>$$$</v>
      </c>
      <c r="BR191" s="88" t="str">
        <f t="shared" si="5"/>
        <v>$$$</v>
      </c>
      <c r="BS191" s="29" t="e">
        <f t="shared" si="295"/>
        <v>#N/A</v>
      </c>
      <c r="BT191" s="29" t="e">
        <f t="shared" si="295"/>
        <v>#N/A</v>
      </c>
      <c r="BU191" s="29" t="e">
        <f t="shared" si="295"/>
        <v>#N/A</v>
      </c>
      <c r="BV191" s="29" t="e">
        <f t="shared" si="295"/>
        <v>#N/A</v>
      </c>
      <c r="BW191" s="29" t="e">
        <f t="shared" si="295"/>
        <v>#N/A</v>
      </c>
      <c r="BX191" s="29" t="e">
        <f t="shared" si="295"/>
        <v>#N/A</v>
      </c>
      <c r="BY191" s="29" t="e">
        <f t="shared" si="295"/>
        <v>#N/A</v>
      </c>
      <c r="BZ191" s="29" t="e">
        <f t="shared" si="295"/>
        <v>#N/A</v>
      </c>
      <c r="CA191" s="29" t="e">
        <f t="shared" si="295"/>
        <v>#N/A</v>
      </c>
      <c r="CB191" s="29" t="e">
        <f t="shared" si="295"/>
        <v>#N/A</v>
      </c>
      <c r="CC191" s="29" t="e">
        <f t="shared" si="295"/>
        <v>#N/A</v>
      </c>
      <c r="CD191" s="29" t="e">
        <f t="shared" si="295"/>
        <v>#N/A</v>
      </c>
      <c r="CE191" s="6" t="str">
        <f t="shared" si="197"/>
        <v/>
      </c>
      <c r="CF191" s="27" t="e">
        <f>IF(AND(CI191,NOT(AD191)),LOOKUP(CF$5,{0,750,1500},H191:J191),"")</f>
        <v>#N/A</v>
      </c>
      <c r="CG191" s="6" t="str">
        <f t="shared" si="198"/>
        <v/>
      </c>
      <c r="CH191" t="e">
        <f t="shared" si="296"/>
        <v>#N/A</v>
      </c>
      <c r="CI191" t="e">
        <f t="shared" si="297"/>
        <v>#N/A</v>
      </c>
      <c r="CJ191" s="6" t="e">
        <f t="shared" si="11"/>
        <v>#N/A</v>
      </c>
      <c r="CK191" s="6">
        <f t="shared" si="12"/>
        <v>1</v>
      </c>
      <c r="CL191" s="6">
        <f t="shared" si="26"/>
        <v>1</v>
      </c>
      <c r="CM191" s="6">
        <f t="shared" si="13"/>
        <v>1</v>
      </c>
      <c r="CN191" s="6">
        <f t="shared" si="14"/>
        <v>1</v>
      </c>
      <c r="CO191" s="6">
        <f t="shared" si="15"/>
        <v>0</v>
      </c>
      <c r="CP191" s="6">
        <f t="shared" si="16"/>
        <v>1</v>
      </c>
      <c r="CQ191" s="6">
        <f t="shared" si="298"/>
        <v>1</v>
      </c>
      <c r="CR191" s="81" t="str">
        <f t="shared" si="17"/>
        <v/>
      </c>
      <c r="CS191">
        <f t="shared" si="299"/>
        <v>0</v>
      </c>
      <c r="CT191">
        <f t="shared" si="19"/>
        <v>175</v>
      </c>
      <c r="CU191" t="str">
        <f t="shared" si="29"/>
        <v/>
      </c>
      <c r="CV191" s="81">
        <f t="shared" si="300"/>
        <v>175</v>
      </c>
      <c r="CW191" s="81">
        <f>(CV191/25)^1.5*(Calculator!$BU$4/10000)*CW$5</f>
        <v>47.821272343654172</v>
      </c>
      <c r="CX191" t="str">
        <f t="shared" si="301"/>
        <v>$175</v>
      </c>
    </row>
    <row r="192" spans="2:102" x14ac:dyDescent="0.25">
      <c r="B192" s="115" t="s">
        <v>233</v>
      </c>
      <c r="C192" s="13">
        <v>46174.569444444445</v>
      </c>
      <c r="D192">
        <v>33608</v>
      </c>
      <c r="E192" s="54" t="s">
        <v>235</v>
      </c>
      <c r="F192" s="54" t="s">
        <v>568</v>
      </c>
      <c r="G192" s="54" t="s">
        <v>327</v>
      </c>
      <c r="H192" s="55">
        <v>15.4</v>
      </c>
      <c r="I192" s="55">
        <v>14.899999999999999</v>
      </c>
      <c r="J192" s="55">
        <v>14.7</v>
      </c>
      <c r="K192" s="54"/>
      <c r="L192" s="56" t="b">
        <v>0</v>
      </c>
      <c r="M192" s="56" t="b">
        <v>0</v>
      </c>
      <c r="N192" s="54">
        <v>1</v>
      </c>
      <c r="O192" s="54" t="s">
        <v>228</v>
      </c>
      <c r="P192" s="54">
        <v>31</v>
      </c>
      <c r="Q192" s="54">
        <v>24</v>
      </c>
      <c r="R192" s="54">
        <v>175</v>
      </c>
      <c r="S192" s="54" t="s">
        <v>569</v>
      </c>
      <c r="T192" s="54" t="s">
        <v>583</v>
      </c>
      <c r="U192" s="54" t="s">
        <v>591</v>
      </c>
      <c r="V192" s="54" t="s">
        <v>571</v>
      </c>
      <c r="W192" s="54" t="b">
        <v>0</v>
      </c>
      <c r="X192" s="54"/>
      <c r="Y192" s="57" t="s">
        <v>592</v>
      </c>
      <c r="Z192" s="54" t="s">
        <v>586</v>
      </c>
      <c r="AA192" s="54"/>
      <c r="AB192" s="54" t="s">
        <v>573</v>
      </c>
      <c r="AC192" s="56" t="b">
        <v>1</v>
      </c>
      <c r="AD192" s="56" t="b">
        <v>0</v>
      </c>
      <c r="AE192" s="54" t="s">
        <v>303</v>
      </c>
      <c r="AF192" s="58">
        <v>46174</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9.2999999999999999E-2</v>
      </c>
      <c r="BC192" s="60">
        <v>4.9000000000000004</v>
      </c>
      <c r="BD192" s="61">
        <v>5.1461E-2</v>
      </c>
      <c r="BE192" s="62" t="s">
        <v>293</v>
      </c>
      <c r="BF192" s="35">
        <f t="shared" si="302"/>
        <v>4.9000000000000004</v>
      </c>
      <c r="BG192" s="35">
        <f t="shared" si="302"/>
        <v>5.1461E-2</v>
      </c>
      <c r="BH192" s="35" t="str">
        <f t="shared" si="291"/>
        <v>Low</v>
      </c>
      <c r="BI192" s="110">
        <f t="shared" si="292"/>
        <v>0</v>
      </c>
      <c r="BJ192" s="83">
        <f>VLOOKUP($F192,REP_Info!$D$6:$H$250,5,FALSE)</f>
        <v>1.8620000000000001</v>
      </c>
      <c r="BK192" s="30">
        <f t="shared" si="293"/>
        <v>15.4261</v>
      </c>
      <c r="BL192" s="30">
        <f t="shared" si="293"/>
        <v>14.936099999999998</v>
      </c>
      <c r="BM192" s="30">
        <f t="shared" si="293"/>
        <v>14.6911</v>
      </c>
      <c r="BN192" s="29">
        <f t="shared" si="293"/>
        <v>14.609433333333333</v>
      </c>
      <c r="BO192" s="85" t="str">
        <f t="shared" si="2"/>
        <v>$$$</v>
      </c>
      <c r="BP192" s="88" t="str">
        <f t="shared" si="294"/>
        <v>$$$</v>
      </c>
      <c r="BQ192" s="88" t="str">
        <f t="shared" si="4"/>
        <v>$$$</v>
      </c>
      <c r="BR192" s="88" t="str">
        <f t="shared" si="5"/>
        <v>$$$</v>
      </c>
      <c r="BS192" s="29" t="e">
        <f t="shared" si="295"/>
        <v>#N/A</v>
      </c>
      <c r="BT192" s="29" t="e">
        <f t="shared" si="295"/>
        <v>#N/A</v>
      </c>
      <c r="BU192" s="29" t="e">
        <f t="shared" si="295"/>
        <v>#N/A</v>
      </c>
      <c r="BV192" s="29" t="e">
        <f t="shared" si="295"/>
        <v>#N/A</v>
      </c>
      <c r="BW192" s="29" t="e">
        <f t="shared" si="295"/>
        <v>#N/A</v>
      </c>
      <c r="BX192" s="29" t="e">
        <f t="shared" si="295"/>
        <v>#N/A</v>
      </c>
      <c r="BY192" s="29" t="e">
        <f t="shared" si="295"/>
        <v>#N/A</v>
      </c>
      <c r="BZ192" s="29" t="e">
        <f t="shared" si="295"/>
        <v>#N/A</v>
      </c>
      <c r="CA192" s="29" t="e">
        <f t="shared" si="295"/>
        <v>#N/A</v>
      </c>
      <c r="CB192" s="29" t="e">
        <f t="shared" si="295"/>
        <v>#N/A</v>
      </c>
      <c r="CC192" s="29" t="e">
        <f t="shared" si="295"/>
        <v>#N/A</v>
      </c>
      <c r="CD192" s="29" t="e">
        <f t="shared" si="295"/>
        <v>#N/A</v>
      </c>
      <c r="CE192" s="6" t="str">
        <f t="shared" si="197"/>
        <v/>
      </c>
      <c r="CF192" s="27" t="e">
        <f>IF(AND(CI192,NOT(AD192)),LOOKUP(CF$5,{0,750,1500},H192:J192),"")</f>
        <v>#N/A</v>
      </c>
      <c r="CG192" s="6" t="str">
        <f t="shared" si="198"/>
        <v/>
      </c>
      <c r="CH192" t="e">
        <f t="shared" si="296"/>
        <v>#N/A</v>
      </c>
      <c r="CI192" t="e">
        <f t="shared" si="297"/>
        <v>#N/A</v>
      </c>
      <c r="CJ192" s="6" t="e">
        <f t="shared" si="11"/>
        <v>#N/A</v>
      </c>
      <c r="CK192" s="6">
        <f t="shared" si="12"/>
        <v>1</v>
      </c>
      <c r="CL192" s="6">
        <f t="shared" si="26"/>
        <v>1</v>
      </c>
      <c r="CM192" s="6">
        <f t="shared" si="13"/>
        <v>1</v>
      </c>
      <c r="CN192" s="6">
        <f t="shared" si="14"/>
        <v>1</v>
      </c>
      <c r="CO192" s="6">
        <f t="shared" si="15"/>
        <v>0</v>
      </c>
      <c r="CP192" s="6">
        <f t="shared" si="16"/>
        <v>1</v>
      </c>
      <c r="CQ192" s="6">
        <f t="shared" si="298"/>
        <v>1</v>
      </c>
      <c r="CR192" s="81" t="str">
        <f t="shared" si="17"/>
        <v/>
      </c>
      <c r="CS192">
        <f t="shared" si="299"/>
        <v>0</v>
      </c>
      <c r="CT192">
        <f t="shared" si="19"/>
        <v>175</v>
      </c>
      <c r="CU192" t="str">
        <f t="shared" si="29"/>
        <v/>
      </c>
      <c r="CV192" s="81">
        <f t="shared" si="300"/>
        <v>175</v>
      </c>
      <c r="CW192" s="81">
        <f>(CV192/25)^1.5*(Calculator!$BU$4/10000)*CW$5</f>
        <v>47.821272343654172</v>
      </c>
      <c r="CX192" t="str">
        <f t="shared" si="301"/>
        <v>$175</v>
      </c>
    </row>
    <row r="193" spans="2:102" x14ac:dyDescent="0.25">
      <c r="B193" s="115" t="s">
        <v>233</v>
      </c>
      <c r="C193" s="13">
        <v>46236.341666666667</v>
      </c>
      <c r="D193">
        <v>619</v>
      </c>
      <c r="E193" s="54" t="s">
        <v>235</v>
      </c>
      <c r="F193" s="54" t="s">
        <v>593</v>
      </c>
      <c r="G193" s="54" t="s">
        <v>594</v>
      </c>
      <c r="H193" s="55">
        <v>17.7</v>
      </c>
      <c r="I193" s="55">
        <v>16.5</v>
      </c>
      <c r="J193" s="55">
        <v>15.8</v>
      </c>
      <c r="K193" s="54"/>
      <c r="L193" s="56" t="b">
        <v>0</v>
      </c>
      <c r="M193" s="56" t="b">
        <v>0</v>
      </c>
      <c r="N193" s="54">
        <v>0</v>
      </c>
      <c r="O193" s="54" t="s">
        <v>238</v>
      </c>
      <c r="P193" s="54">
        <v>15</v>
      </c>
      <c r="Q193" s="54">
        <v>0</v>
      </c>
      <c r="R193" s="54">
        <v>0</v>
      </c>
      <c r="S193" s="54" t="s">
        <v>595</v>
      </c>
      <c r="T193" s="54" t="s">
        <v>596</v>
      </c>
      <c r="U193" s="54" t="s">
        <v>597</v>
      </c>
      <c r="V193" s="54" t="s">
        <v>598</v>
      </c>
      <c r="W193" s="54" t="b">
        <v>0</v>
      </c>
      <c r="X193" s="54"/>
      <c r="Y193" s="57" t="s">
        <v>2166</v>
      </c>
      <c r="Z193" s="54" t="s">
        <v>599</v>
      </c>
      <c r="AA193" s="54"/>
      <c r="AB193" s="54" t="s">
        <v>600</v>
      </c>
      <c r="AC193" s="56" t="b">
        <v>0</v>
      </c>
      <c r="AD193" s="56" t="b">
        <v>0</v>
      </c>
      <c r="AE193" s="54"/>
      <c r="AF193" s="58"/>
      <c r="AG193" s="62" t="s">
        <v>293</v>
      </c>
      <c r="AH193" s="54"/>
      <c r="AI193" s="54"/>
      <c r="AJ193" s="54"/>
      <c r="AK193" s="54"/>
      <c r="AL193" s="54"/>
      <c r="AM193" s="54">
        <v>0</v>
      </c>
      <c r="AN193" s="54"/>
      <c r="AO193" s="54"/>
      <c r="AP193" s="54"/>
      <c r="AQ193" s="54"/>
      <c r="AR193" s="54"/>
      <c r="AS193" s="54"/>
      <c r="AT193" s="54"/>
      <c r="AU193" s="54"/>
      <c r="AV193" s="54"/>
      <c r="AW193" s="54"/>
      <c r="AX193" s="59"/>
      <c r="AY193" s="59"/>
      <c r="AZ193" s="59"/>
      <c r="BA193" s="59"/>
      <c r="BB193" s="59"/>
      <c r="BC193" s="60"/>
      <c r="BD193" s="61"/>
      <c r="BE193" s="62"/>
      <c r="BF193" s="35">
        <f t="shared" si="302"/>
        <v>4.9000000000000004</v>
      </c>
      <c r="BG193" s="35">
        <f t="shared" si="302"/>
        <v>5.1461E-2</v>
      </c>
      <c r="BH193" s="35" t="str">
        <f t="shared" si="291"/>
        <v>?</v>
      </c>
      <c r="BI193" s="110" t="str">
        <f t="shared" si="292"/>
        <v/>
      </c>
      <c r="BJ193" s="83" t="e">
        <f>VLOOKUP($F193,REP_Info!$D$6:$H$250,5,FALSE)</f>
        <v>#N/A</v>
      </c>
      <c r="BK193" s="30" t="e">
        <f t="shared" si="293"/>
        <v>#N/A</v>
      </c>
      <c r="BL193" s="30" t="e">
        <f t="shared" si="293"/>
        <v>#N/A</v>
      </c>
      <c r="BM193" s="30" t="e">
        <f t="shared" si="293"/>
        <v>#N/A</v>
      </c>
      <c r="BN193" s="29" t="e">
        <f t="shared" si="293"/>
        <v>#N/A</v>
      </c>
      <c r="BO193" s="85" t="str">
        <f t="shared" si="2"/>
        <v>$$$</v>
      </c>
      <c r="BP193" s="88" t="str">
        <f t="shared" si="294"/>
        <v>$$$</v>
      </c>
      <c r="BQ193" s="88" t="str">
        <f t="shared" si="4"/>
        <v>$$$</v>
      </c>
      <c r="BR193" s="88" t="str">
        <f t="shared" si="5"/>
        <v>$$$</v>
      </c>
      <c r="BS193" s="29" t="e">
        <f t="shared" si="295"/>
        <v>#N/A</v>
      </c>
      <c r="BT193" s="29" t="e">
        <f t="shared" si="295"/>
        <v>#N/A</v>
      </c>
      <c r="BU193" s="29" t="e">
        <f t="shared" si="295"/>
        <v>#N/A</v>
      </c>
      <c r="BV193" s="29" t="e">
        <f t="shared" si="295"/>
        <v>#N/A</v>
      </c>
      <c r="BW193" s="29" t="e">
        <f t="shared" si="295"/>
        <v>#N/A</v>
      </c>
      <c r="BX193" s="29" t="e">
        <f t="shared" si="295"/>
        <v>#N/A</v>
      </c>
      <c r="BY193" s="29" t="e">
        <f t="shared" si="295"/>
        <v>#N/A</v>
      </c>
      <c r="BZ193" s="29" t="e">
        <f t="shared" si="295"/>
        <v>#N/A</v>
      </c>
      <c r="CA193" s="29" t="e">
        <f t="shared" si="295"/>
        <v>#N/A</v>
      </c>
      <c r="CB193" s="29" t="e">
        <f t="shared" si="295"/>
        <v>#N/A</v>
      </c>
      <c r="CC193" s="29" t="e">
        <f t="shared" si="295"/>
        <v>#N/A</v>
      </c>
      <c r="CD193" s="29" t="e">
        <f t="shared" si="295"/>
        <v>#N/A</v>
      </c>
      <c r="CE193" s="6" t="str">
        <f t="shared" si="197"/>
        <v/>
      </c>
      <c r="CF193" s="27" t="e">
        <f>IF(AND(CI193,NOT(AD193)),LOOKUP(CF$5,{0,750,1500},H193:J193),"")</f>
        <v>#N/A</v>
      </c>
      <c r="CG193" s="6" t="str">
        <f t="shared" si="198"/>
        <v/>
      </c>
      <c r="CH193" t="e">
        <f t="shared" si="296"/>
        <v>#N/A</v>
      </c>
      <c r="CI193" t="e">
        <f t="shared" si="297"/>
        <v>#N/A</v>
      </c>
      <c r="CJ193" s="6" t="e">
        <f t="shared" si="11"/>
        <v>#N/A</v>
      </c>
      <c r="CK193" s="6">
        <f t="shared" si="12"/>
        <v>1</v>
      </c>
      <c r="CL193" s="6">
        <f t="shared" si="26"/>
        <v>1</v>
      </c>
      <c r="CM193" s="6">
        <f t="shared" si="13"/>
        <v>0</v>
      </c>
      <c r="CN193" s="6">
        <f t="shared" si="14"/>
        <v>0</v>
      </c>
      <c r="CO193" s="6">
        <f t="shared" si="15"/>
        <v>1</v>
      </c>
      <c r="CP193" s="6">
        <f t="shared" si="16"/>
        <v>1</v>
      </c>
      <c r="CQ193" s="6">
        <f t="shared" si="298"/>
        <v>1</v>
      </c>
      <c r="CR193" s="81" t="str">
        <f t="shared" si="17"/>
        <v/>
      </c>
      <c r="CS193" t="e">
        <f t="shared" si="299"/>
        <v>#DIV/0!</v>
      </c>
      <c r="CT193">
        <f t="shared" si="19"/>
        <v>0</v>
      </c>
      <c r="CU193" t="str">
        <f t="shared" si="29"/>
        <v/>
      </c>
      <c r="CV193" s="81">
        <f t="shared" si="300"/>
        <v>0</v>
      </c>
      <c r="CW193" s="81">
        <f>(CV193/25)^1.5*(Calculator!$BU$4/10000)*CW$5</f>
        <v>0</v>
      </c>
      <c r="CX193" t="str">
        <f t="shared" si="301"/>
        <v>$0</v>
      </c>
    </row>
    <row r="194" spans="2:102" x14ac:dyDescent="0.25">
      <c r="B194" s="115" t="s">
        <v>233</v>
      </c>
      <c r="C194" s="13">
        <v>46236.341666666667</v>
      </c>
      <c r="D194">
        <v>31423</v>
      </c>
      <c r="E194" s="54" t="s">
        <v>237</v>
      </c>
      <c r="F194" s="54" t="s">
        <v>593</v>
      </c>
      <c r="G194" s="54" t="s">
        <v>594</v>
      </c>
      <c r="H194" s="55">
        <v>18.399999999999999</v>
      </c>
      <c r="I194" s="55">
        <v>17.299999999999997</v>
      </c>
      <c r="J194" s="55">
        <v>16.7</v>
      </c>
      <c r="K194" s="54"/>
      <c r="L194" s="56" t="b">
        <v>0</v>
      </c>
      <c r="M194" s="56" t="b">
        <v>0</v>
      </c>
      <c r="N194" s="54">
        <v>0</v>
      </c>
      <c r="O194" s="54" t="s">
        <v>238</v>
      </c>
      <c r="P194" s="54">
        <v>15</v>
      </c>
      <c r="Q194" s="54">
        <v>0</v>
      </c>
      <c r="R194" s="54">
        <v>0</v>
      </c>
      <c r="S194" s="54" t="s">
        <v>595</v>
      </c>
      <c r="T194" s="54" t="s">
        <v>596</v>
      </c>
      <c r="U194" s="54" t="s">
        <v>597</v>
      </c>
      <c r="V194" s="54" t="s">
        <v>598</v>
      </c>
      <c r="W194" s="54" t="b">
        <v>0</v>
      </c>
      <c r="X194" s="54"/>
      <c r="Y194" s="57" t="s">
        <v>2167</v>
      </c>
      <c r="Z194" s="54" t="s">
        <v>599</v>
      </c>
      <c r="AA194" s="54"/>
      <c r="AB194" s="54" t="s">
        <v>600</v>
      </c>
      <c r="AC194" s="56" t="b">
        <v>0</v>
      </c>
      <c r="AD194" s="56" t="b">
        <v>0</v>
      </c>
      <c r="AE194" s="54"/>
      <c r="AF194" s="58"/>
      <c r="AG194" s="62" t="s">
        <v>293</v>
      </c>
      <c r="AH194" s="54"/>
      <c r="AI194" s="54"/>
      <c r="AJ194" s="54"/>
      <c r="AK194" s="54"/>
      <c r="AL194" s="54"/>
      <c r="AM194" s="54">
        <v>0</v>
      </c>
      <c r="AN194" s="54"/>
      <c r="AO194" s="54"/>
      <c r="AP194" s="54"/>
      <c r="AQ194" s="54"/>
      <c r="AR194" s="54"/>
      <c r="AS194" s="54"/>
      <c r="AT194" s="54"/>
      <c r="AU194" s="54"/>
      <c r="AV194" s="54"/>
      <c r="AW194" s="54"/>
      <c r="AX194" s="59"/>
      <c r="AY194" s="59"/>
      <c r="AZ194" s="59"/>
      <c r="BA194" s="59"/>
      <c r="BB194" s="59"/>
      <c r="BC194" s="60"/>
      <c r="BD194" s="61"/>
      <c r="BE194" s="62"/>
      <c r="BF194" s="35">
        <f t="shared" si="302"/>
        <v>4.0600000000000005</v>
      </c>
      <c r="BG194" s="35">
        <f t="shared" si="302"/>
        <v>6.0295000000000001E-2</v>
      </c>
      <c r="BH194" s="35" t="str">
        <f t="shared" si="291"/>
        <v>?</v>
      </c>
      <c r="BI194" s="110" t="str">
        <f t="shared" si="292"/>
        <v/>
      </c>
      <c r="BJ194" s="83" t="e">
        <f>VLOOKUP($F194,REP_Info!$D$6:$H$250,5,FALSE)</f>
        <v>#N/A</v>
      </c>
      <c r="BK194" s="30" t="e">
        <f t="shared" si="293"/>
        <v>#N/A</v>
      </c>
      <c r="BL194" s="30" t="e">
        <f t="shared" si="293"/>
        <v>#N/A</v>
      </c>
      <c r="BM194" s="30" t="e">
        <f t="shared" si="293"/>
        <v>#N/A</v>
      </c>
      <c r="BN194" s="29" t="e">
        <f t="shared" si="293"/>
        <v>#N/A</v>
      </c>
      <c r="BO194" s="85" t="str">
        <f t="shared" si="2"/>
        <v>$$$</v>
      </c>
      <c r="BP194" s="88" t="str">
        <f t="shared" si="294"/>
        <v>$$$</v>
      </c>
      <c r="BQ194" s="88" t="str">
        <f t="shared" si="4"/>
        <v>$$$</v>
      </c>
      <c r="BR194" s="88" t="str">
        <f t="shared" si="5"/>
        <v>$$$</v>
      </c>
      <c r="BS194" s="29" t="e">
        <f t="shared" si="295"/>
        <v>#N/A</v>
      </c>
      <c r="BT194" s="29" t="e">
        <f t="shared" si="295"/>
        <v>#N/A</v>
      </c>
      <c r="BU194" s="29" t="e">
        <f t="shared" si="295"/>
        <v>#N/A</v>
      </c>
      <c r="BV194" s="29" t="e">
        <f t="shared" si="295"/>
        <v>#N/A</v>
      </c>
      <c r="BW194" s="29" t="e">
        <f t="shared" si="295"/>
        <v>#N/A</v>
      </c>
      <c r="BX194" s="29" t="e">
        <f t="shared" si="295"/>
        <v>#N/A</v>
      </c>
      <c r="BY194" s="29" t="e">
        <f t="shared" si="295"/>
        <v>#N/A</v>
      </c>
      <c r="BZ194" s="29" t="e">
        <f t="shared" si="295"/>
        <v>#N/A</v>
      </c>
      <c r="CA194" s="29" t="e">
        <f t="shared" si="295"/>
        <v>#N/A</v>
      </c>
      <c r="CB194" s="29" t="e">
        <f t="shared" si="295"/>
        <v>#N/A</v>
      </c>
      <c r="CC194" s="29" t="e">
        <f t="shared" si="295"/>
        <v>#N/A</v>
      </c>
      <c r="CD194" s="29" t="e">
        <f t="shared" si="295"/>
        <v>#N/A</v>
      </c>
      <c r="CE194" s="6" t="str">
        <f t="shared" si="197"/>
        <v/>
      </c>
      <c r="CF194" s="27" t="e">
        <f>IF(AND(CI194,NOT(AD194)),LOOKUP(CF$5,{0,750,1500},H194:J194),"")</f>
        <v>#N/A</v>
      </c>
      <c r="CG194" s="6" t="str">
        <f t="shared" si="198"/>
        <v/>
      </c>
      <c r="CH194" t="e">
        <f t="shared" si="296"/>
        <v>#N/A</v>
      </c>
      <c r="CI194" t="e">
        <f t="shared" si="297"/>
        <v>#N/A</v>
      </c>
      <c r="CJ194" s="6" t="e">
        <f t="shared" si="11"/>
        <v>#N/A</v>
      </c>
      <c r="CK194" s="6">
        <f t="shared" si="12"/>
        <v>1</v>
      </c>
      <c r="CL194" s="6">
        <f t="shared" si="26"/>
        <v>1</v>
      </c>
      <c r="CM194" s="6">
        <f t="shared" si="13"/>
        <v>0</v>
      </c>
      <c r="CN194" s="6">
        <f t="shared" si="14"/>
        <v>0</v>
      </c>
      <c r="CO194" s="6">
        <f t="shared" si="15"/>
        <v>1</v>
      </c>
      <c r="CP194" s="6">
        <f t="shared" si="16"/>
        <v>1</v>
      </c>
      <c r="CQ194" s="6">
        <f t="shared" si="298"/>
        <v>1</v>
      </c>
      <c r="CR194" s="81" t="str">
        <f t="shared" si="17"/>
        <v/>
      </c>
      <c r="CS194" t="e">
        <f t="shared" si="299"/>
        <v>#DIV/0!</v>
      </c>
      <c r="CT194">
        <f t="shared" si="19"/>
        <v>0</v>
      </c>
      <c r="CU194" t="str">
        <f t="shared" si="29"/>
        <v/>
      </c>
      <c r="CV194" s="81">
        <f t="shared" si="300"/>
        <v>0</v>
      </c>
      <c r="CW194" s="81">
        <f>(CV194/25)^1.5*(Calculator!$BU$4/10000)*CW$5</f>
        <v>0</v>
      </c>
      <c r="CX194" t="str">
        <f t="shared" si="301"/>
        <v>$0</v>
      </c>
    </row>
    <row r="195" spans="2:102" x14ac:dyDescent="0.25">
      <c r="B195" s="115" t="s">
        <v>233</v>
      </c>
      <c r="C195" s="13">
        <v>46227.60833333333</v>
      </c>
      <c r="D195">
        <v>26302</v>
      </c>
      <c r="E195" s="54" t="s">
        <v>235</v>
      </c>
      <c r="F195" s="54" t="s">
        <v>601</v>
      </c>
      <c r="G195" s="54" t="s">
        <v>1679</v>
      </c>
      <c r="H195" s="55">
        <v>11.3</v>
      </c>
      <c r="I195" s="55">
        <v>10.8</v>
      </c>
      <c r="J195" s="55">
        <v>10.6</v>
      </c>
      <c r="K195" s="54"/>
      <c r="L195" s="56" t="b">
        <v>0</v>
      </c>
      <c r="M195" s="56" t="b">
        <v>0</v>
      </c>
      <c r="N195" s="54">
        <v>1</v>
      </c>
      <c r="O195" s="54" t="s">
        <v>228</v>
      </c>
      <c r="P195" s="54">
        <v>100</v>
      </c>
      <c r="Q195" s="54">
        <v>12</v>
      </c>
      <c r="R195" s="54">
        <v>150</v>
      </c>
      <c r="S195" s="54" t="s">
        <v>602</v>
      </c>
      <c r="T195" s="54" t="s">
        <v>603</v>
      </c>
      <c r="U195" s="54" t="s">
        <v>604</v>
      </c>
      <c r="V195" s="54" t="s">
        <v>605</v>
      </c>
      <c r="W195" s="54" t="b">
        <v>0</v>
      </c>
      <c r="X195" s="54"/>
      <c r="Y195" s="57" t="s">
        <v>2003</v>
      </c>
      <c r="Z195" s="54" t="s">
        <v>602</v>
      </c>
      <c r="AA195" s="54"/>
      <c r="AB195" s="54" t="s">
        <v>606</v>
      </c>
      <c r="AC195" s="56" t="b">
        <v>1</v>
      </c>
      <c r="AD195" s="56" t="b">
        <v>0</v>
      </c>
      <c r="AE195" s="54" t="s">
        <v>303</v>
      </c>
      <c r="AF195" s="58">
        <v>46226</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5.2012999999999997E-2</v>
      </c>
      <c r="BC195" s="60">
        <v>4.9000000000000004</v>
      </c>
      <c r="BD195" s="61">
        <v>5.1461E-2</v>
      </c>
      <c r="BE195" s="62" t="s">
        <v>293</v>
      </c>
      <c r="BF195" s="35">
        <f t="shared" si="302"/>
        <v>4.9000000000000004</v>
      </c>
      <c r="BG195" s="35">
        <f t="shared" si="302"/>
        <v>5.1461E-2</v>
      </c>
      <c r="BH195" s="35" t="str">
        <f t="shared" si="291"/>
        <v>Low</v>
      </c>
      <c r="BI195" s="110">
        <f t="shared" si="292"/>
        <v>0</v>
      </c>
      <c r="BJ195" s="83">
        <f>VLOOKUP($F195,REP_Info!$D$6:$H$250,5,FALSE)</f>
        <v>4.5250000000000004</v>
      </c>
      <c r="BK195" s="30">
        <f t="shared" si="293"/>
        <v>11.327399999999999</v>
      </c>
      <c r="BL195" s="30">
        <f t="shared" si="293"/>
        <v>10.837399999999999</v>
      </c>
      <c r="BM195" s="30">
        <f t="shared" si="293"/>
        <v>10.592400000000001</v>
      </c>
      <c r="BN195" s="29">
        <f t="shared" si="293"/>
        <v>10.510733333333334</v>
      </c>
      <c r="BO195" s="85" t="str">
        <f t="shared" si="2"/>
        <v>$$$</v>
      </c>
      <c r="BP195" s="88" t="str">
        <f t="shared" si="294"/>
        <v>$$$</v>
      </c>
      <c r="BQ195" s="88" t="str">
        <f t="shared" si="4"/>
        <v>$$$</v>
      </c>
      <c r="BR195" s="88" t="str">
        <f t="shared" si="5"/>
        <v>$$$</v>
      </c>
      <c r="BS195" s="29" t="e">
        <f t="shared" si="295"/>
        <v>#N/A</v>
      </c>
      <c r="BT195" s="29" t="e">
        <f t="shared" si="295"/>
        <v>#N/A</v>
      </c>
      <c r="BU195" s="29" t="e">
        <f t="shared" si="295"/>
        <v>#N/A</v>
      </c>
      <c r="BV195" s="29" t="e">
        <f t="shared" si="295"/>
        <v>#N/A</v>
      </c>
      <c r="BW195" s="29" t="e">
        <f t="shared" si="295"/>
        <v>#N/A</v>
      </c>
      <c r="BX195" s="29" t="e">
        <f t="shared" si="295"/>
        <v>#N/A</v>
      </c>
      <c r="BY195" s="29" t="e">
        <f t="shared" si="295"/>
        <v>#N/A</v>
      </c>
      <c r="BZ195" s="29" t="e">
        <f t="shared" si="295"/>
        <v>#N/A</v>
      </c>
      <c r="CA195" s="29" t="e">
        <f t="shared" si="295"/>
        <v>#N/A</v>
      </c>
      <c r="CB195" s="29" t="e">
        <f t="shared" si="295"/>
        <v>#N/A</v>
      </c>
      <c r="CC195" s="29" t="e">
        <f t="shared" si="295"/>
        <v>#N/A</v>
      </c>
      <c r="CD195" s="29" t="e">
        <f t="shared" si="295"/>
        <v>#N/A</v>
      </c>
      <c r="CE195" s="6" t="str">
        <f t="shared" si="197"/>
        <v/>
      </c>
      <c r="CF195" s="27" t="e">
        <f>IF(AND(CI195,NOT(AD195)),LOOKUP(CF$5,{0,750,1500},H195:J195),"")</f>
        <v>#N/A</v>
      </c>
      <c r="CG195" s="6" t="str">
        <f t="shared" si="198"/>
        <v/>
      </c>
      <c r="CH195" t="e">
        <f t="shared" si="296"/>
        <v>#N/A</v>
      </c>
      <c r="CI195" t="e">
        <f t="shared" si="297"/>
        <v>#N/A</v>
      </c>
      <c r="CJ195" s="6" t="e">
        <f t="shared" si="11"/>
        <v>#N/A</v>
      </c>
      <c r="CK195" s="6">
        <f t="shared" si="12"/>
        <v>1</v>
      </c>
      <c r="CL195" s="6">
        <f t="shared" si="26"/>
        <v>1</v>
      </c>
      <c r="CM195" s="6">
        <f t="shared" si="13"/>
        <v>1</v>
      </c>
      <c r="CN195" s="6">
        <f t="shared" si="14"/>
        <v>1</v>
      </c>
      <c r="CO195" s="6">
        <f t="shared" si="15"/>
        <v>1</v>
      </c>
      <c r="CP195" s="6">
        <f t="shared" si="16"/>
        <v>1</v>
      </c>
      <c r="CQ195" s="6">
        <f t="shared" si="298"/>
        <v>1</v>
      </c>
      <c r="CR195" s="81" t="str">
        <f t="shared" si="17"/>
        <v/>
      </c>
      <c r="CS195">
        <f t="shared" si="299"/>
        <v>0</v>
      </c>
      <c r="CT195">
        <f t="shared" si="19"/>
        <v>150</v>
      </c>
      <c r="CU195" t="str">
        <f t="shared" si="29"/>
        <v/>
      </c>
      <c r="CV195" s="81">
        <f t="shared" si="300"/>
        <v>150</v>
      </c>
      <c r="CW195" s="81">
        <f>(CV195/25)^1.5*(Calculator!$BU$4/10000)*CW$5</f>
        <v>37.949052970673385</v>
      </c>
      <c r="CX195" t="str">
        <f t="shared" si="301"/>
        <v>$150</v>
      </c>
    </row>
    <row r="196" spans="2:102" x14ac:dyDescent="0.25">
      <c r="B196" s="115" t="s">
        <v>233</v>
      </c>
      <c r="C196" s="13">
        <v>46227.60833333333</v>
      </c>
      <c r="D196">
        <v>31355</v>
      </c>
      <c r="E196" s="54" t="s">
        <v>237</v>
      </c>
      <c r="F196" s="54" t="s">
        <v>601</v>
      </c>
      <c r="G196" s="54" t="s">
        <v>1679</v>
      </c>
      <c r="H196" s="55">
        <v>12.1</v>
      </c>
      <c r="I196" s="55">
        <v>11.700000000000001</v>
      </c>
      <c r="J196" s="55">
        <v>11.5</v>
      </c>
      <c r="K196" s="54"/>
      <c r="L196" s="56" t="b">
        <v>0</v>
      </c>
      <c r="M196" s="56" t="b">
        <v>0</v>
      </c>
      <c r="N196" s="54">
        <v>1</v>
      </c>
      <c r="O196" s="54" t="s">
        <v>228</v>
      </c>
      <c r="P196" s="54">
        <v>100</v>
      </c>
      <c r="Q196" s="54">
        <v>12</v>
      </c>
      <c r="R196" s="54">
        <v>150</v>
      </c>
      <c r="S196" s="54" t="s">
        <v>602</v>
      </c>
      <c r="T196" s="54" t="s">
        <v>607</v>
      </c>
      <c r="U196" s="54" t="s">
        <v>604</v>
      </c>
      <c r="V196" s="54" t="s">
        <v>605</v>
      </c>
      <c r="W196" s="54" t="b">
        <v>0</v>
      </c>
      <c r="X196" s="54"/>
      <c r="Y196" s="57" t="s">
        <v>2004</v>
      </c>
      <c r="Z196" s="54" t="s">
        <v>608</v>
      </c>
      <c r="AA196" s="54"/>
      <c r="AB196" s="54" t="s">
        <v>606</v>
      </c>
      <c r="AC196" s="56" t="b">
        <v>1</v>
      </c>
      <c r="AD196" s="56" t="b">
        <v>0</v>
      </c>
      <c r="AE196" s="54" t="s">
        <v>303</v>
      </c>
      <c r="AF196" s="58">
        <v>46226</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5.2176E-2</v>
      </c>
      <c r="BC196" s="60">
        <v>4.0599999999999996</v>
      </c>
      <c r="BD196" s="61">
        <v>6.1196E-2</v>
      </c>
      <c r="BE196" s="62" t="s">
        <v>293</v>
      </c>
      <c r="BF196" s="35">
        <f t="shared" si="302"/>
        <v>4.0600000000000005</v>
      </c>
      <c r="BG196" s="35">
        <f t="shared" si="302"/>
        <v>6.0295000000000001E-2</v>
      </c>
      <c r="BH196" s="35" t="str">
        <f t="shared" si="291"/>
        <v>Low</v>
      </c>
      <c r="BI196" s="110">
        <f t="shared" si="292"/>
        <v>0</v>
      </c>
      <c r="BJ196" s="83">
        <f>VLOOKUP($F196,REP_Info!$D$6:$H$250,5,FALSE)</f>
        <v>4.5250000000000004</v>
      </c>
      <c r="BK196" s="30">
        <f t="shared" si="293"/>
        <v>12.059100000000001</v>
      </c>
      <c r="BL196" s="30">
        <f t="shared" si="293"/>
        <v>11.6531</v>
      </c>
      <c r="BM196" s="30">
        <f t="shared" si="293"/>
        <v>11.450100000000001</v>
      </c>
      <c r="BN196" s="29">
        <f t="shared" si="293"/>
        <v>11.382433333333331</v>
      </c>
      <c r="BO196" s="85" t="str">
        <f t="shared" si="2"/>
        <v>$$$</v>
      </c>
      <c r="BP196" s="88" t="str">
        <f t="shared" si="294"/>
        <v>$$$</v>
      </c>
      <c r="BQ196" s="88" t="str">
        <f t="shared" si="4"/>
        <v>$$$</v>
      </c>
      <c r="BR196" s="88" t="str">
        <f t="shared" si="5"/>
        <v>$$$</v>
      </c>
      <c r="BS196" s="29" t="e">
        <f t="shared" si="295"/>
        <v>#N/A</v>
      </c>
      <c r="BT196" s="29" t="e">
        <f t="shared" si="295"/>
        <v>#N/A</v>
      </c>
      <c r="BU196" s="29" t="e">
        <f t="shared" si="295"/>
        <v>#N/A</v>
      </c>
      <c r="BV196" s="29" t="e">
        <f t="shared" si="295"/>
        <v>#N/A</v>
      </c>
      <c r="BW196" s="29" t="e">
        <f t="shared" si="295"/>
        <v>#N/A</v>
      </c>
      <c r="BX196" s="29" t="e">
        <f t="shared" si="295"/>
        <v>#N/A</v>
      </c>
      <c r="BY196" s="29" t="e">
        <f t="shared" si="295"/>
        <v>#N/A</v>
      </c>
      <c r="BZ196" s="29" t="e">
        <f t="shared" si="295"/>
        <v>#N/A</v>
      </c>
      <c r="CA196" s="29" t="e">
        <f t="shared" si="295"/>
        <v>#N/A</v>
      </c>
      <c r="CB196" s="29" t="e">
        <f t="shared" si="295"/>
        <v>#N/A</v>
      </c>
      <c r="CC196" s="29" t="e">
        <f t="shared" si="295"/>
        <v>#N/A</v>
      </c>
      <c r="CD196" s="29" t="e">
        <f t="shared" si="295"/>
        <v>#N/A</v>
      </c>
      <c r="CE196" s="6" t="str">
        <f t="shared" si="197"/>
        <v/>
      </c>
      <c r="CF196" s="27" t="e">
        <f>IF(AND(CI196,NOT(AD196)),LOOKUP(CF$5,{0,750,1500},H196:J196),"")</f>
        <v>#N/A</v>
      </c>
      <c r="CG196" s="6" t="str">
        <f t="shared" si="198"/>
        <v/>
      </c>
      <c r="CH196" t="e">
        <f t="shared" si="296"/>
        <v>#N/A</v>
      </c>
      <c r="CI196" t="e">
        <f t="shared" si="297"/>
        <v>#N/A</v>
      </c>
      <c r="CJ196" s="6" t="e">
        <f t="shared" si="11"/>
        <v>#N/A</v>
      </c>
      <c r="CK196" s="6">
        <f t="shared" si="12"/>
        <v>1</v>
      </c>
      <c r="CL196" s="6">
        <f t="shared" si="26"/>
        <v>1</v>
      </c>
      <c r="CM196" s="6">
        <f t="shared" si="13"/>
        <v>1</v>
      </c>
      <c r="CN196" s="6">
        <f t="shared" si="14"/>
        <v>1</v>
      </c>
      <c r="CO196" s="6">
        <f t="shared" si="15"/>
        <v>1</v>
      </c>
      <c r="CP196" s="6">
        <f t="shared" si="16"/>
        <v>1</v>
      </c>
      <c r="CQ196" s="6">
        <f t="shared" si="298"/>
        <v>1</v>
      </c>
      <c r="CR196" s="81" t="str">
        <f t="shared" si="17"/>
        <v/>
      </c>
      <c r="CS196">
        <f t="shared" si="299"/>
        <v>0</v>
      </c>
      <c r="CT196">
        <f t="shared" si="19"/>
        <v>150</v>
      </c>
      <c r="CU196" t="str">
        <f t="shared" si="29"/>
        <v/>
      </c>
      <c r="CV196" s="81">
        <f t="shared" si="300"/>
        <v>150</v>
      </c>
      <c r="CW196" s="81">
        <f>(CV196/25)^1.5*(Calculator!$BU$4/10000)*CW$5</f>
        <v>37.949052970673385</v>
      </c>
      <c r="CX196" t="str">
        <f t="shared" si="301"/>
        <v>$150</v>
      </c>
    </row>
    <row r="197" spans="2:102" x14ac:dyDescent="0.25">
      <c r="B197" s="115" t="s">
        <v>233</v>
      </c>
      <c r="C197" s="13">
        <v>46212.852083333331</v>
      </c>
      <c r="D197">
        <v>35157</v>
      </c>
      <c r="E197" s="54" t="s">
        <v>237</v>
      </c>
      <c r="F197" s="54" t="s">
        <v>601</v>
      </c>
      <c r="G197" s="54" t="s">
        <v>609</v>
      </c>
      <c r="H197" s="55">
        <v>14.099999999999998</v>
      </c>
      <c r="I197" s="55">
        <v>13.700000000000001</v>
      </c>
      <c r="J197" s="55">
        <v>13.5</v>
      </c>
      <c r="K197" s="54"/>
      <c r="L197" s="56" t="b">
        <v>0</v>
      </c>
      <c r="M197" s="56" t="b">
        <v>1</v>
      </c>
      <c r="N197" s="54">
        <v>1</v>
      </c>
      <c r="O197" s="54" t="s">
        <v>228</v>
      </c>
      <c r="P197" s="54">
        <v>100</v>
      </c>
      <c r="Q197" s="54">
        <v>12</v>
      </c>
      <c r="R197" s="54">
        <v>150</v>
      </c>
      <c r="S197" s="54" t="s">
        <v>602</v>
      </c>
      <c r="T197" s="54" t="s">
        <v>610</v>
      </c>
      <c r="U197" s="54" t="s">
        <v>611</v>
      </c>
      <c r="V197" s="54" t="s">
        <v>605</v>
      </c>
      <c r="W197" s="54" t="b">
        <v>0</v>
      </c>
      <c r="X197" s="54"/>
      <c r="Y197" s="57" t="s">
        <v>1860</v>
      </c>
      <c r="Z197" s="54" t="s">
        <v>602</v>
      </c>
      <c r="AA197" s="54"/>
      <c r="AB197" s="54" t="s">
        <v>606</v>
      </c>
      <c r="AC197" s="56" t="b">
        <v>1</v>
      </c>
      <c r="AD197" s="56" t="b">
        <v>0</v>
      </c>
      <c r="AE197" s="54" t="s">
        <v>303</v>
      </c>
      <c r="AF197" s="58">
        <v>46212</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c r="BC197" s="60"/>
      <c r="BD197" s="61"/>
      <c r="BE197" s="62" t="e">
        <v>#N/A</v>
      </c>
      <c r="BF197" s="35">
        <f t="shared" si="302"/>
        <v>4.0600000000000005</v>
      </c>
      <c r="BG197" s="35">
        <f t="shared" si="302"/>
        <v>6.0295000000000001E-2</v>
      </c>
      <c r="BH197" s="35" t="str">
        <f t="shared" si="291"/>
        <v>?</v>
      </c>
      <c r="BI197" s="110">
        <f t="shared" si="292"/>
        <v>0</v>
      </c>
      <c r="BJ197" s="83">
        <f>VLOOKUP($F197,REP_Info!$D$6:$H$250,5,FALSE)</f>
        <v>4.5250000000000004</v>
      </c>
      <c r="BK197" s="30" t="e">
        <f t="shared" si="293"/>
        <v>#N/A</v>
      </c>
      <c r="BL197" s="30" t="e">
        <f t="shared" si="293"/>
        <v>#N/A</v>
      </c>
      <c r="BM197" s="30" t="e">
        <f t="shared" si="293"/>
        <v>#N/A</v>
      </c>
      <c r="BN197" s="29" t="e">
        <f t="shared" si="293"/>
        <v>#N/A</v>
      </c>
      <c r="BO197" s="85" t="str">
        <f t="shared" si="2"/>
        <v>$$$</v>
      </c>
      <c r="BP197" s="88" t="str">
        <f t="shared" si="294"/>
        <v>$$$</v>
      </c>
      <c r="BQ197" s="88" t="str">
        <f t="shared" si="4"/>
        <v>$$$</v>
      </c>
      <c r="BR197" s="88" t="str">
        <f t="shared" si="5"/>
        <v>$$$</v>
      </c>
      <c r="BS197" s="29" t="e">
        <f t="shared" si="295"/>
        <v>#N/A</v>
      </c>
      <c r="BT197" s="29" t="e">
        <f t="shared" si="295"/>
        <v>#N/A</v>
      </c>
      <c r="BU197" s="29" t="e">
        <f t="shared" si="295"/>
        <v>#N/A</v>
      </c>
      <c r="BV197" s="29" t="e">
        <f t="shared" si="295"/>
        <v>#N/A</v>
      </c>
      <c r="BW197" s="29" t="e">
        <f t="shared" si="295"/>
        <v>#N/A</v>
      </c>
      <c r="BX197" s="29" t="e">
        <f t="shared" si="295"/>
        <v>#N/A</v>
      </c>
      <c r="BY197" s="29" t="e">
        <f t="shared" si="295"/>
        <v>#N/A</v>
      </c>
      <c r="BZ197" s="29" t="e">
        <f t="shared" si="295"/>
        <v>#N/A</v>
      </c>
      <c r="CA197" s="29" t="e">
        <f t="shared" si="295"/>
        <v>#N/A</v>
      </c>
      <c r="CB197" s="29" t="e">
        <f t="shared" si="295"/>
        <v>#N/A</v>
      </c>
      <c r="CC197" s="29" t="e">
        <f t="shared" si="295"/>
        <v>#N/A</v>
      </c>
      <c r="CD197" s="29" t="e">
        <f t="shared" si="295"/>
        <v>#N/A</v>
      </c>
      <c r="CE197" s="6" t="str">
        <f t="shared" si="197"/>
        <v/>
      </c>
      <c r="CF197" s="27" t="e">
        <f>IF(AND(CI197,NOT(AD197)),LOOKUP(CF$5,{0,750,1500},H197:J197),"")</f>
        <v>#N/A</v>
      </c>
      <c r="CG197" s="6" t="str">
        <f t="shared" si="198"/>
        <v/>
      </c>
      <c r="CH197" t="e">
        <f t="shared" si="296"/>
        <v>#N/A</v>
      </c>
      <c r="CI197" t="e">
        <f t="shared" si="297"/>
        <v>#N/A</v>
      </c>
      <c r="CJ197" s="6" t="e">
        <f t="shared" si="11"/>
        <v>#N/A</v>
      </c>
      <c r="CK197" s="6">
        <f t="shared" si="12"/>
        <v>1</v>
      </c>
      <c r="CL197" s="6">
        <f t="shared" si="26"/>
        <v>1</v>
      </c>
      <c r="CM197" s="6">
        <f t="shared" si="13"/>
        <v>1</v>
      </c>
      <c r="CN197" s="6">
        <f t="shared" si="14"/>
        <v>1</v>
      </c>
      <c r="CO197" s="6">
        <f t="shared" si="15"/>
        <v>1</v>
      </c>
      <c r="CP197" s="6">
        <f t="shared" si="16"/>
        <v>1</v>
      </c>
      <c r="CQ197" s="6">
        <f t="shared" si="298"/>
        <v>1</v>
      </c>
      <c r="CR197" s="81" t="str">
        <f t="shared" si="17"/>
        <v/>
      </c>
      <c r="CS197">
        <f t="shared" si="299"/>
        <v>0</v>
      </c>
      <c r="CT197">
        <f t="shared" si="19"/>
        <v>150</v>
      </c>
      <c r="CU197" t="str">
        <f t="shared" si="29"/>
        <v/>
      </c>
      <c r="CV197" s="81">
        <f t="shared" si="300"/>
        <v>150</v>
      </c>
      <c r="CW197" s="81">
        <f>(CV197/25)^1.5*(Calculator!$BU$4/10000)*CW$5</f>
        <v>37.949052970673385</v>
      </c>
      <c r="CX197" t="str">
        <f t="shared" si="301"/>
        <v>$150</v>
      </c>
    </row>
    <row r="198" spans="2:102" x14ac:dyDescent="0.25">
      <c r="B198" s="115" t="s">
        <v>233</v>
      </c>
      <c r="C198" s="13">
        <v>46212.852083333331</v>
      </c>
      <c r="D198">
        <v>35158</v>
      </c>
      <c r="E198" s="54" t="s">
        <v>235</v>
      </c>
      <c r="F198" s="54" t="s">
        <v>601</v>
      </c>
      <c r="G198" s="54" t="s">
        <v>609</v>
      </c>
      <c r="H198" s="55">
        <v>13.100000000000001</v>
      </c>
      <c r="I198" s="55">
        <v>12.6</v>
      </c>
      <c r="J198" s="55">
        <v>12.4</v>
      </c>
      <c r="K198" s="54"/>
      <c r="L198" s="56" t="b">
        <v>0</v>
      </c>
      <c r="M198" s="56" t="b">
        <v>1</v>
      </c>
      <c r="N198" s="54">
        <v>1</v>
      </c>
      <c r="O198" s="54" t="s">
        <v>228</v>
      </c>
      <c r="P198" s="54">
        <v>100</v>
      </c>
      <c r="Q198" s="54">
        <v>12</v>
      </c>
      <c r="R198" s="54">
        <v>150</v>
      </c>
      <c r="S198" s="54" t="s">
        <v>602</v>
      </c>
      <c r="T198" s="54" t="s">
        <v>610</v>
      </c>
      <c r="U198" s="54" t="s">
        <v>611</v>
      </c>
      <c r="V198" s="54" t="s">
        <v>605</v>
      </c>
      <c r="W198" s="54" t="b">
        <v>0</v>
      </c>
      <c r="X198" s="54"/>
      <c r="Y198" s="57" t="s">
        <v>1861</v>
      </c>
      <c r="Z198" s="54" t="s">
        <v>602</v>
      </c>
      <c r="AA198" s="54"/>
      <c r="AB198" s="54" t="s">
        <v>606</v>
      </c>
      <c r="AC198" s="56" t="b">
        <v>1</v>
      </c>
      <c r="AD198" s="56" t="b">
        <v>0</v>
      </c>
      <c r="AE198" s="54" t="s">
        <v>303</v>
      </c>
      <c r="AF198" s="58">
        <v>46212</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c r="BC198" s="60"/>
      <c r="BD198" s="61"/>
      <c r="BE198" s="62" t="e">
        <v>#N/A</v>
      </c>
      <c r="BF198" s="35">
        <f t="shared" si="302"/>
        <v>4.9000000000000004</v>
      </c>
      <c r="BG198" s="35">
        <f t="shared" si="302"/>
        <v>5.1461E-2</v>
      </c>
      <c r="BH198" s="35" t="str">
        <f t="shared" si="291"/>
        <v>?</v>
      </c>
      <c r="BI198" s="110">
        <f t="shared" si="292"/>
        <v>0</v>
      </c>
      <c r="BJ198" s="83">
        <f>VLOOKUP($F198,REP_Info!$D$6:$H$250,5,FALSE)</f>
        <v>4.5250000000000004</v>
      </c>
      <c r="BK198" s="30" t="e">
        <f t="shared" si="293"/>
        <v>#N/A</v>
      </c>
      <c r="BL198" s="30" t="e">
        <f t="shared" si="293"/>
        <v>#N/A</v>
      </c>
      <c r="BM198" s="30" t="e">
        <f t="shared" si="293"/>
        <v>#N/A</v>
      </c>
      <c r="BN198" s="29" t="e">
        <f t="shared" si="293"/>
        <v>#N/A</v>
      </c>
      <c r="BO198" s="85" t="str">
        <f t="shared" si="2"/>
        <v>$$$</v>
      </c>
      <c r="BP198" s="88" t="str">
        <f t="shared" si="294"/>
        <v>$$$</v>
      </c>
      <c r="BQ198" s="88" t="str">
        <f t="shared" si="4"/>
        <v>$$$</v>
      </c>
      <c r="BR198" s="88" t="str">
        <f t="shared" si="5"/>
        <v>$$$</v>
      </c>
      <c r="BS198" s="29" t="e">
        <f t="shared" si="295"/>
        <v>#N/A</v>
      </c>
      <c r="BT198" s="29" t="e">
        <f t="shared" si="295"/>
        <v>#N/A</v>
      </c>
      <c r="BU198" s="29" t="e">
        <f t="shared" si="295"/>
        <v>#N/A</v>
      </c>
      <c r="BV198" s="29" t="e">
        <f t="shared" si="295"/>
        <v>#N/A</v>
      </c>
      <c r="BW198" s="29" t="e">
        <f t="shared" si="295"/>
        <v>#N/A</v>
      </c>
      <c r="BX198" s="29" t="e">
        <f t="shared" si="295"/>
        <v>#N/A</v>
      </c>
      <c r="BY198" s="29" t="e">
        <f t="shared" si="295"/>
        <v>#N/A</v>
      </c>
      <c r="BZ198" s="29" t="e">
        <f t="shared" si="295"/>
        <v>#N/A</v>
      </c>
      <c r="CA198" s="29" t="e">
        <f t="shared" si="295"/>
        <v>#N/A</v>
      </c>
      <c r="CB198" s="29" t="e">
        <f t="shared" si="295"/>
        <v>#N/A</v>
      </c>
      <c r="CC198" s="29" t="e">
        <f t="shared" si="295"/>
        <v>#N/A</v>
      </c>
      <c r="CD198" s="29" t="e">
        <f t="shared" si="295"/>
        <v>#N/A</v>
      </c>
      <c r="CE198" s="6" t="str">
        <f t="shared" si="197"/>
        <v/>
      </c>
      <c r="CF198" s="27" t="e">
        <f>IF(AND(CI198,NOT(AD198)),LOOKUP(CF$5,{0,750,1500},H198:J198),"")</f>
        <v>#N/A</v>
      </c>
      <c r="CG198" s="6" t="str">
        <f t="shared" si="198"/>
        <v/>
      </c>
      <c r="CH198" t="e">
        <f t="shared" si="296"/>
        <v>#N/A</v>
      </c>
      <c r="CI198" t="e">
        <f t="shared" si="297"/>
        <v>#N/A</v>
      </c>
      <c r="CJ198" s="6" t="e">
        <f t="shared" si="11"/>
        <v>#N/A</v>
      </c>
      <c r="CK198" s="6">
        <f t="shared" si="12"/>
        <v>1</v>
      </c>
      <c r="CL198" s="6">
        <f t="shared" si="26"/>
        <v>1</v>
      </c>
      <c r="CM198" s="6">
        <f t="shared" si="13"/>
        <v>1</v>
      </c>
      <c r="CN198" s="6">
        <f t="shared" si="14"/>
        <v>1</v>
      </c>
      <c r="CO198" s="6">
        <f t="shared" si="15"/>
        <v>1</v>
      </c>
      <c r="CP198" s="6">
        <f t="shared" si="16"/>
        <v>1</v>
      </c>
      <c r="CQ198" s="6">
        <f t="shared" si="298"/>
        <v>1</v>
      </c>
      <c r="CR198" s="81" t="str">
        <f t="shared" si="17"/>
        <v/>
      </c>
      <c r="CS198">
        <f t="shared" si="299"/>
        <v>0</v>
      </c>
      <c r="CT198">
        <f t="shared" si="19"/>
        <v>150</v>
      </c>
      <c r="CU198" t="str">
        <f t="shared" si="29"/>
        <v/>
      </c>
      <c r="CV198" s="81">
        <f t="shared" si="300"/>
        <v>150</v>
      </c>
      <c r="CW198" s="81">
        <f>(CV198/25)^1.5*(Calculator!$BU$4/10000)*CW$5</f>
        <v>37.949052970673385</v>
      </c>
      <c r="CX198" t="str">
        <f t="shared" si="301"/>
        <v>$150</v>
      </c>
    </row>
    <row r="199" spans="2:102" x14ac:dyDescent="0.25">
      <c r="B199" s="115" t="s">
        <v>233</v>
      </c>
      <c r="C199" s="13">
        <v>46175.509027777778</v>
      </c>
      <c r="D199">
        <v>35689</v>
      </c>
      <c r="E199" s="54" t="s">
        <v>235</v>
      </c>
      <c r="F199" s="54" t="s">
        <v>601</v>
      </c>
      <c r="G199" s="54" t="s">
        <v>612</v>
      </c>
      <c r="H199" s="55">
        <v>21.8</v>
      </c>
      <c r="I199" s="55">
        <v>8.7999999999999989</v>
      </c>
      <c r="J199" s="55">
        <v>14.799999999999999</v>
      </c>
      <c r="K199" s="54" t="s">
        <v>613</v>
      </c>
      <c r="L199" s="56" t="b">
        <v>0</v>
      </c>
      <c r="M199" s="56" t="b">
        <v>0</v>
      </c>
      <c r="N199" s="54">
        <v>1</v>
      </c>
      <c r="O199" s="54" t="s">
        <v>228</v>
      </c>
      <c r="P199" s="54">
        <v>100</v>
      </c>
      <c r="Q199" s="54">
        <v>12</v>
      </c>
      <c r="R199" s="54">
        <v>150</v>
      </c>
      <c r="S199" s="54" t="s">
        <v>602</v>
      </c>
      <c r="T199" s="54" t="s">
        <v>614</v>
      </c>
      <c r="U199" s="54" t="s">
        <v>604</v>
      </c>
      <c r="V199" s="54" t="s">
        <v>605</v>
      </c>
      <c r="W199" s="54" t="b">
        <v>0</v>
      </c>
      <c r="X199" s="54"/>
      <c r="Y199" s="57" t="s">
        <v>1680</v>
      </c>
      <c r="Z199" s="54" t="s">
        <v>602</v>
      </c>
      <c r="AA199" s="54"/>
      <c r="AB199" s="54" t="s">
        <v>606</v>
      </c>
      <c r="AC199" s="56" t="b">
        <v>1</v>
      </c>
      <c r="AD199" s="56" t="b">
        <v>1</v>
      </c>
      <c r="AE199" s="54" t="s">
        <v>303</v>
      </c>
      <c r="AF199" s="58">
        <v>46175</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0.15684100000000001</v>
      </c>
      <c r="BC199" s="60">
        <v>4.9000000000000004</v>
      </c>
      <c r="BD199" s="61">
        <v>5.1461E-2</v>
      </c>
      <c r="BE199" s="62" t="s">
        <v>293</v>
      </c>
      <c r="BF199" s="35">
        <f t="shared" si="302"/>
        <v>4.9000000000000004</v>
      </c>
      <c r="BG199" s="35">
        <f t="shared" si="302"/>
        <v>5.1461E-2</v>
      </c>
      <c r="BH199" s="35" t="str">
        <f t="shared" si="291"/>
        <v>High</v>
      </c>
      <c r="BI199" s="110">
        <f t="shared" si="292"/>
        <v>0</v>
      </c>
      <c r="BJ199" s="83">
        <f>VLOOKUP($F199,REP_Info!$D$6:$H$250,5,FALSE)</f>
        <v>4.5250000000000004</v>
      </c>
      <c r="BK199" s="30">
        <f t="shared" si="293"/>
        <v>21.810200000000005</v>
      </c>
      <c r="BL199" s="30">
        <f t="shared" si="293"/>
        <v>8.8202000000000016</v>
      </c>
      <c r="BM199" s="30">
        <f t="shared" si="293"/>
        <v>14.825200000000001</v>
      </c>
      <c r="BN199" s="29">
        <f t="shared" si="293"/>
        <v>16.826866666666668</v>
      </c>
      <c r="BO199" s="85" t="str">
        <f t="shared" si="2"/>
        <v>$$$</v>
      </c>
      <c r="BP199" s="88" t="str">
        <f t="shared" si="294"/>
        <v>$$$</v>
      </c>
      <c r="BQ199" s="88" t="str">
        <f t="shared" si="4"/>
        <v>$$$</v>
      </c>
      <c r="BR199" s="88" t="str">
        <f t="shared" si="5"/>
        <v>$$$</v>
      </c>
      <c r="BS199" s="29" t="e">
        <f t="shared" si="295"/>
        <v>#N/A</v>
      </c>
      <c r="BT199" s="29" t="e">
        <f t="shared" si="295"/>
        <v>#N/A</v>
      </c>
      <c r="BU199" s="29" t="e">
        <f t="shared" si="295"/>
        <v>#N/A</v>
      </c>
      <c r="BV199" s="29" t="e">
        <f t="shared" si="295"/>
        <v>#N/A</v>
      </c>
      <c r="BW199" s="29" t="e">
        <f t="shared" si="295"/>
        <v>#N/A</v>
      </c>
      <c r="BX199" s="29" t="e">
        <f t="shared" si="295"/>
        <v>#N/A</v>
      </c>
      <c r="BY199" s="29" t="e">
        <f t="shared" si="295"/>
        <v>#N/A</v>
      </c>
      <c r="BZ199" s="29" t="e">
        <f t="shared" si="295"/>
        <v>#N/A</v>
      </c>
      <c r="CA199" s="29" t="e">
        <f t="shared" si="295"/>
        <v>#N/A</v>
      </c>
      <c r="CB199" s="29" t="e">
        <f t="shared" si="295"/>
        <v>#N/A</v>
      </c>
      <c r="CC199" s="29" t="e">
        <f t="shared" si="295"/>
        <v>#N/A</v>
      </c>
      <c r="CD199" s="29" t="e">
        <f t="shared" si="295"/>
        <v>#N/A</v>
      </c>
      <c r="CE199" s="6" t="str">
        <f t="shared" si="197"/>
        <v/>
      </c>
      <c r="CF199" s="27" t="e">
        <f>IF(AND(CI199,NOT(AD199)),LOOKUP(CF$5,{0,750,1500},H199:J199),"")</f>
        <v>#N/A</v>
      </c>
      <c r="CG199" s="6" t="str">
        <f t="shared" si="198"/>
        <v/>
      </c>
      <c r="CH199" t="e">
        <f t="shared" si="296"/>
        <v>#N/A</v>
      </c>
      <c r="CI199" t="e">
        <f t="shared" si="297"/>
        <v>#N/A</v>
      </c>
      <c r="CJ199" s="6" t="e">
        <f t="shared" si="11"/>
        <v>#N/A</v>
      </c>
      <c r="CK199" s="6">
        <f t="shared" si="12"/>
        <v>1</v>
      </c>
      <c r="CL199" s="6">
        <f t="shared" si="26"/>
        <v>1</v>
      </c>
      <c r="CM199" s="6">
        <f t="shared" si="13"/>
        <v>1</v>
      </c>
      <c r="CN199" s="6">
        <f t="shared" si="14"/>
        <v>1</v>
      </c>
      <c r="CO199" s="6">
        <f t="shared" si="15"/>
        <v>1</v>
      </c>
      <c r="CP199" s="6">
        <f t="shared" si="16"/>
        <v>1</v>
      </c>
      <c r="CQ199" s="6">
        <f t="shared" si="298"/>
        <v>1</v>
      </c>
      <c r="CR199" s="81" t="str">
        <f t="shared" si="17"/>
        <v/>
      </c>
      <c r="CS199">
        <f t="shared" si="299"/>
        <v>0</v>
      </c>
      <c r="CT199">
        <f t="shared" si="19"/>
        <v>150</v>
      </c>
      <c r="CU199" t="str">
        <f t="shared" si="29"/>
        <v/>
      </c>
      <c r="CV199" s="81">
        <f t="shared" si="300"/>
        <v>150</v>
      </c>
      <c r="CW199" s="81">
        <f>(CV199/25)^1.5*(Calculator!$BU$4/10000)*CW$5</f>
        <v>37.949052970673385</v>
      </c>
      <c r="CX199" t="str">
        <f t="shared" si="301"/>
        <v>$150</v>
      </c>
    </row>
    <row r="200" spans="2:102" x14ac:dyDescent="0.25">
      <c r="B200" s="115" t="s">
        <v>233</v>
      </c>
      <c r="C200" s="13">
        <v>46175.509027777778</v>
      </c>
      <c r="D200">
        <v>35698</v>
      </c>
      <c r="E200" s="54" t="s">
        <v>237</v>
      </c>
      <c r="F200" s="54" t="s">
        <v>601</v>
      </c>
      <c r="G200" s="54" t="s">
        <v>612</v>
      </c>
      <c r="H200" s="55">
        <v>22.7</v>
      </c>
      <c r="I200" s="55">
        <v>9.8000000000000007</v>
      </c>
      <c r="J200" s="55">
        <v>15.8</v>
      </c>
      <c r="K200" s="54" t="s">
        <v>613</v>
      </c>
      <c r="L200" s="56" t="b">
        <v>0</v>
      </c>
      <c r="M200" s="56" t="b">
        <v>0</v>
      </c>
      <c r="N200" s="54">
        <v>1</v>
      </c>
      <c r="O200" s="54" t="s">
        <v>228</v>
      </c>
      <c r="P200" s="54">
        <v>100</v>
      </c>
      <c r="Q200" s="54">
        <v>12</v>
      </c>
      <c r="R200" s="54">
        <v>150</v>
      </c>
      <c r="S200" s="54" t="s">
        <v>602</v>
      </c>
      <c r="T200" s="54" t="s">
        <v>614</v>
      </c>
      <c r="U200" s="54" t="s">
        <v>604</v>
      </c>
      <c r="V200" s="54" t="s">
        <v>604</v>
      </c>
      <c r="W200" s="54" t="b">
        <v>0</v>
      </c>
      <c r="X200" s="54"/>
      <c r="Y200" s="57" t="s">
        <v>1681</v>
      </c>
      <c r="Z200" s="54" t="s">
        <v>602</v>
      </c>
      <c r="AA200" s="54"/>
      <c r="AB200" s="54" t="s">
        <v>606</v>
      </c>
      <c r="AC200" s="56" t="b">
        <v>1</v>
      </c>
      <c r="AD200" s="56" t="b">
        <v>1</v>
      </c>
      <c r="AE200" s="54" t="s">
        <v>303</v>
      </c>
      <c r="AF200" s="58">
        <v>46175</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0.15767900000000001</v>
      </c>
      <c r="BC200" s="60">
        <v>4.0599999999999996</v>
      </c>
      <c r="BD200" s="61">
        <v>6.1196E-2</v>
      </c>
      <c r="BE200" s="62" t="s">
        <v>293</v>
      </c>
      <c r="BF200" s="35">
        <f t="shared" si="302"/>
        <v>4.0600000000000005</v>
      </c>
      <c r="BG200" s="35">
        <f t="shared" si="302"/>
        <v>6.0295000000000001E-2</v>
      </c>
      <c r="BH200" s="35" t="str">
        <f t="shared" si="291"/>
        <v>High</v>
      </c>
      <c r="BI200" s="110">
        <f t="shared" si="292"/>
        <v>0</v>
      </c>
      <c r="BJ200" s="83">
        <f>VLOOKUP($F200,REP_Info!$D$6:$H$250,5,FALSE)</f>
        <v>4.5250000000000004</v>
      </c>
      <c r="BK200" s="30">
        <f t="shared" si="293"/>
        <v>22.609399999999997</v>
      </c>
      <c r="BL200" s="30">
        <f t="shared" si="293"/>
        <v>9.703400000000002</v>
      </c>
      <c r="BM200" s="30">
        <f t="shared" si="293"/>
        <v>15.750400000000001</v>
      </c>
      <c r="BN200" s="29">
        <f t="shared" si="293"/>
        <v>17.766066666666667</v>
      </c>
      <c r="BO200" s="85" t="str">
        <f t="shared" si="2"/>
        <v>$$$</v>
      </c>
      <c r="BP200" s="88" t="str">
        <f t="shared" si="294"/>
        <v>$$$</v>
      </c>
      <c r="BQ200" s="88" t="str">
        <f t="shared" si="4"/>
        <v>$$$</v>
      </c>
      <c r="BR200" s="88" t="str">
        <f t="shared" si="5"/>
        <v>$$$</v>
      </c>
      <c r="BS200" s="29" t="e">
        <f t="shared" si="295"/>
        <v>#N/A</v>
      </c>
      <c r="BT200" s="29" t="e">
        <f t="shared" si="295"/>
        <v>#N/A</v>
      </c>
      <c r="BU200" s="29" t="e">
        <f t="shared" si="295"/>
        <v>#N/A</v>
      </c>
      <c r="BV200" s="29" t="e">
        <f t="shared" si="295"/>
        <v>#N/A</v>
      </c>
      <c r="BW200" s="29" t="e">
        <f t="shared" si="295"/>
        <v>#N/A</v>
      </c>
      <c r="BX200" s="29" t="e">
        <f t="shared" si="295"/>
        <v>#N/A</v>
      </c>
      <c r="BY200" s="29" t="e">
        <f t="shared" si="295"/>
        <v>#N/A</v>
      </c>
      <c r="BZ200" s="29" t="e">
        <f t="shared" si="295"/>
        <v>#N/A</v>
      </c>
      <c r="CA200" s="29" t="e">
        <f t="shared" si="295"/>
        <v>#N/A</v>
      </c>
      <c r="CB200" s="29" t="e">
        <f t="shared" si="295"/>
        <v>#N/A</v>
      </c>
      <c r="CC200" s="29" t="e">
        <f t="shared" si="295"/>
        <v>#N/A</v>
      </c>
      <c r="CD200" s="29" t="e">
        <f t="shared" si="295"/>
        <v>#N/A</v>
      </c>
      <c r="CE200" s="6" t="str">
        <f t="shared" si="197"/>
        <v/>
      </c>
      <c r="CF200" s="27" t="e">
        <f>IF(AND(CI200,NOT(AD200)),LOOKUP(CF$5,{0,750,1500},H200:J200),"")</f>
        <v>#N/A</v>
      </c>
      <c r="CG200" s="6" t="str">
        <f t="shared" si="198"/>
        <v/>
      </c>
      <c r="CH200" t="e">
        <f t="shared" si="296"/>
        <v>#N/A</v>
      </c>
      <c r="CI200" t="e">
        <f t="shared" si="297"/>
        <v>#N/A</v>
      </c>
      <c r="CJ200" s="6" t="e">
        <f t="shared" si="11"/>
        <v>#N/A</v>
      </c>
      <c r="CK200" s="6">
        <f t="shared" si="12"/>
        <v>1</v>
      </c>
      <c r="CL200" s="6">
        <f t="shared" si="26"/>
        <v>1</v>
      </c>
      <c r="CM200" s="6">
        <f t="shared" si="13"/>
        <v>1</v>
      </c>
      <c r="CN200" s="6">
        <f t="shared" si="14"/>
        <v>1</v>
      </c>
      <c r="CO200" s="6">
        <f t="shared" si="15"/>
        <v>1</v>
      </c>
      <c r="CP200" s="6">
        <f t="shared" si="16"/>
        <v>1</v>
      </c>
      <c r="CQ200" s="6">
        <f t="shared" si="298"/>
        <v>1</v>
      </c>
      <c r="CR200" s="81" t="str">
        <f t="shared" si="17"/>
        <v/>
      </c>
      <c r="CS200">
        <f t="shared" si="299"/>
        <v>0</v>
      </c>
      <c r="CT200">
        <f t="shared" si="19"/>
        <v>150</v>
      </c>
      <c r="CU200" t="str">
        <f t="shared" si="29"/>
        <v/>
      </c>
      <c r="CV200" s="81">
        <f t="shared" si="300"/>
        <v>150</v>
      </c>
      <c r="CW200" s="81">
        <f>(CV200/25)^1.5*(Calculator!$BU$4/10000)*CW$5</f>
        <v>37.949052970673385</v>
      </c>
      <c r="CX200" t="str">
        <f t="shared" si="301"/>
        <v>$150</v>
      </c>
    </row>
    <row r="201" spans="2:102" x14ac:dyDescent="0.25">
      <c r="B201" s="115" t="s">
        <v>233</v>
      </c>
      <c r="C201" s="13">
        <v>46212.852083333331</v>
      </c>
      <c r="D201">
        <v>35859</v>
      </c>
      <c r="E201" s="54" t="s">
        <v>235</v>
      </c>
      <c r="F201" s="54" t="s">
        <v>601</v>
      </c>
      <c r="G201" s="54" t="s">
        <v>615</v>
      </c>
      <c r="H201" s="55">
        <v>13.3</v>
      </c>
      <c r="I201" s="55">
        <v>12.8</v>
      </c>
      <c r="J201" s="55">
        <v>12.6</v>
      </c>
      <c r="K201" s="54"/>
      <c r="L201" s="56" t="b">
        <v>0</v>
      </c>
      <c r="M201" s="56" t="b">
        <v>0</v>
      </c>
      <c r="N201" s="54">
        <v>1</v>
      </c>
      <c r="O201" s="54" t="s">
        <v>228</v>
      </c>
      <c r="P201" s="54">
        <v>100</v>
      </c>
      <c r="Q201" s="54">
        <v>18</v>
      </c>
      <c r="R201" s="54">
        <v>200</v>
      </c>
      <c r="S201" s="54" t="s">
        <v>602</v>
      </c>
      <c r="T201" s="54" t="s">
        <v>616</v>
      </c>
      <c r="U201" s="54" t="s">
        <v>604</v>
      </c>
      <c r="V201" s="54" t="s">
        <v>605</v>
      </c>
      <c r="W201" s="54" t="b">
        <v>0</v>
      </c>
      <c r="X201" s="54"/>
      <c r="Y201" s="57" t="s">
        <v>1862</v>
      </c>
      <c r="Z201" s="54" t="s">
        <v>617</v>
      </c>
      <c r="AA201" s="54"/>
      <c r="AB201" s="54" t="s">
        <v>606</v>
      </c>
      <c r="AC201" s="56" t="b">
        <v>1</v>
      </c>
      <c r="AD201" s="56" t="b">
        <v>0</v>
      </c>
      <c r="AE201" s="54" t="s">
        <v>303</v>
      </c>
      <c r="AF201" s="58">
        <v>46212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7.2061E-2</v>
      </c>
      <c r="BC201" s="60">
        <v>4.9000000000000004</v>
      </c>
      <c r="BD201" s="61">
        <v>5.1461E-2</v>
      </c>
      <c r="BE201" s="62" t="s">
        <v>293</v>
      </c>
      <c r="BF201" s="35">
        <f t="shared" si="302"/>
        <v>4.9000000000000004</v>
      </c>
      <c r="BG201" s="35">
        <f t="shared" si="302"/>
        <v>5.1461E-2</v>
      </c>
      <c r="BH201" s="35" t="str">
        <f t="shared" si="291"/>
        <v>Low</v>
      </c>
      <c r="BI201" s="110">
        <f t="shared" si="292"/>
        <v>0</v>
      </c>
      <c r="BJ201" s="83">
        <f>VLOOKUP($F201,REP_Info!$D$6:$H$250,5,FALSE)</f>
        <v>4.5250000000000004</v>
      </c>
      <c r="BK201" s="30">
        <f t="shared" si="293"/>
        <v>13.3322</v>
      </c>
      <c r="BL201" s="30">
        <f t="shared" si="293"/>
        <v>12.842200000000002</v>
      </c>
      <c r="BM201" s="30">
        <f t="shared" si="293"/>
        <v>12.597200000000001</v>
      </c>
      <c r="BN201" s="29">
        <f t="shared" si="293"/>
        <v>12.515533333333332</v>
      </c>
      <c r="BO201" s="85" t="str">
        <f t="shared" si="2"/>
        <v>$$$</v>
      </c>
      <c r="BP201" s="88" t="str">
        <f t="shared" si="294"/>
        <v>$$$</v>
      </c>
      <c r="BQ201" s="88" t="str">
        <f t="shared" si="4"/>
        <v>$$$</v>
      </c>
      <c r="BR201" s="88" t="str">
        <f t="shared" si="5"/>
        <v>$$$</v>
      </c>
      <c r="BS201" s="29" t="e">
        <f t="shared" si="295"/>
        <v>#N/A</v>
      </c>
      <c r="BT201" s="29" t="e">
        <f t="shared" si="295"/>
        <v>#N/A</v>
      </c>
      <c r="BU201" s="29" t="e">
        <f t="shared" si="295"/>
        <v>#N/A</v>
      </c>
      <c r="BV201" s="29" t="e">
        <f t="shared" si="295"/>
        <v>#N/A</v>
      </c>
      <c r="BW201" s="29" t="e">
        <f t="shared" si="295"/>
        <v>#N/A</v>
      </c>
      <c r="BX201" s="29" t="e">
        <f t="shared" si="295"/>
        <v>#N/A</v>
      </c>
      <c r="BY201" s="29" t="e">
        <f t="shared" si="295"/>
        <v>#N/A</v>
      </c>
      <c r="BZ201" s="29" t="e">
        <f t="shared" si="295"/>
        <v>#N/A</v>
      </c>
      <c r="CA201" s="29" t="e">
        <f t="shared" si="295"/>
        <v>#N/A</v>
      </c>
      <c r="CB201" s="29" t="e">
        <f t="shared" si="295"/>
        <v>#N/A</v>
      </c>
      <c r="CC201" s="29" t="e">
        <f t="shared" si="295"/>
        <v>#N/A</v>
      </c>
      <c r="CD201" s="29" t="e">
        <f t="shared" si="295"/>
        <v>#N/A</v>
      </c>
      <c r="CE201" s="6" t="str">
        <f t="shared" si="197"/>
        <v/>
      </c>
      <c r="CF201" s="27" t="e">
        <f>IF(AND(CI201,NOT(AD201)),LOOKUP(CF$5,{0,750,1500},H201:J201),"")</f>
        <v>#N/A</v>
      </c>
      <c r="CG201" s="6" t="str">
        <f t="shared" si="198"/>
        <v/>
      </c>
      <c r="CH201" t="e">
        <f t="shared" si="296"/>
        <v>#N/A</v>
      </c>
      <c r="CI201" t="e">
        <f t="shared" si="297"/>
        <v>#N/A</v>
      </c>
      <c r="CJ201" s="6" t="e">
        <f t="shared" si="11"/>
        <v>#N/A</v>
      </c>
      <c r="CK201" s="6">
        <f t="shared" si="12"/>
        <v>1</v>
      </c>
      <c r="CL201" s="6">
        <f t="shared" si="26"/>
        <v>1</v>
      </c>
      <c r="CM201" s="6">
        <f t="shared" si="13"/>
        <v>1</v>
      </c>
      <c r="CN201" s="6">
        <f t="shared" si="14"/>
        <v>1</v>
      </c>
      <c r="CO201" s="6">
        <f t="shared" si="15"/>
        <v>0</v>
      </c>
      <c r="CP201" s="6">
        <f t="shared" si="16"/>
        <v>1</v>
      </c>
      <c r="CQ201" s="6">
        <f t="shared" si="298"/>
        <v>1</v>
      </c>
      <c r="CR201" s="81" t="str">
        <f t="shared" si="17"/>
        <v/>
      </c>
      <c r="CS201">
        <f t="shared" si="299"/>
        <v>0</v>
      </c>
      <c r="CT201">
        <f t="shared" si="19"/>
        <v>200</v>
      </c>
      <c r="CU201" t="str">
        <f t="shared" si="29"/>
        <v/>
      </c>
      <c r="CV201" s="81">
        <f t="shared" si="300"/>
        <v>200</v>
      </c>
      <c r="CW201" s="81">
        <f>(CV201/25)^1.5*(Calculator!$BU$4/10000)*CW$5</f>
        <v>58.426389194959008</v>
      </c>
      <c r="CX201" t="str">
        <f t="shared" si="301"/>
        <v>$200</v>
      </c>
    </row>
    <row r="202" spans="2:102" x14ac:dyDescent="0.25">
      <c r="B202" s="115" t="s">
        <v>233</v>
      </c>
      <c r="C202" s="13">
        <v>46212.852083333331</v>
      </c>
      <c r="D202">
        <v>35861</v>
      </c>
      <c r="E202" s="54" t="s">
        <v>237</v>
      </c>
      <c r="F202" s="54" t="s">
        <v>601</v>
      </c>
      <c r="G202" s="54" t="s">
        <v>615</v>
      </c>
      <c r="H202" s="55">
        <v>14.2</v>
      </c>
      <c r="I202" s="55">
        <v>13.8</v>
      </c>
      <c r="J202" s="55">
        <v>13.600000000000001</v>
      </c>
      <c r="K202" s="54"/>
      <c r="L202" s="56" t="b">
        <v>0</v>
      </c>
      <c r="M202" s="56" t="b">
        <v>0</v>
      </c>
      <c r="N202" s="54">
        <v>1</v>
      </c>
      <c r="O202" s="54" t="s">
        <v>228</v>
      </c>
      <c r="P202" s="54">
        <v>100</v>
      </c>
      <c r="Q202" s="54">
        <v>18</v>
      </c>
      <c r="R202" s="54">
        <v>200</v>
      </c>
      <c r="S202" s="54" t="s">
        <v>602</v>
      </c>
      <c r="T202" s="54" t="s">
        <v>616</v>
      </c>
      <c r="U202" s="54" t="s">
        <v>604</v>
      </c>
      <c r="V202" s="54" t="s">
        <v>605</v>
      </c>
      <c r="W202" s="54" t="b">
        <v>0</v>
      </c>
      <c r="X202" s="54"/>
      <c r="Y202" s="57" t="s">
        <v>1863</v>
      </c>
      <c r="Z202" s="54" t="s">
        <v>617</v>
      </c>
      <c r="AA202" s="54"/>
      <c r="AB202" s="54" t="s">
        <v>606</v>
      </c>
      <c r="AC202" s="56" t="b">
        <v>1</v>
      </c>
      <c r="AD202" s="56" t="b">
        <v>0</v>
      </c>
      <c r="AE202" s="54" t="s">
        <v>303</v>
      </c>
      <c r="AF202" s="58">
        <v>46212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7.2411000000000003E-2</v>
      </c>
      <c r="BC202" s="60">
        <v>4.0599999999999996</v>
      </c>
      <c r="BD202" s="61">
        <v>6.1196E-2</v>
      </c>
      <c r="BE202" s="62" t="s">
        <v>293</v>
      </c>
      <c r="BF202" s="35">
        <f t="shared" si="302"/>
        <v>4.0600000000000005</v>
      </c>
      <c r="BG202" s="35">
        <f t="shared" si="302"/>
        <v>6.0295000000000001E-2</v>
      </c>
      <c r="BH202" s="35" t="str">
        <f t="shared" si="291"/>
        <v>Low</v>
      </c>
      <c r="BI202" s="110">
        <f t="shared" si="292"/>
        <v>0</v>
      </c>
      <c r="BJ202" s="83">
        <f>VLOOKUP($F202,REP_Info!$D$6:$H$250,5,FALSE)</f>
        <v>4.5250000000000004</v>
      </c>
      <c r="BK202" s="30">
        <f t="shared" si="293"/>
        <v>14.082600000000003</v>
      </c>
      <c r="BL202" s="30">
        <f t="shared" si="293"/>
        <v>13.676600000000002</v>
      </c>
      <c r="BM202" s="30">
        <f t="shared" si="293"/>
        <v>13.473599999999999</v>
      </c>
      <c r="BN202" s="29">
        <f t="shared" si="293"/>
        <v>13.405933333333333</v>
      </c>
      <c r="BO202" s="85" t="str">
        <f t="shared" si="2"/>
        <v>$$$</v>
      </c>
      <c r="BP202" s="88" t="str">
        <f t="shared" si="294"/>
        <v>$$$</v>
      </c>
      <c r="BQ202" s="88" t="str">
        <f t="shared" si="4"/>
        <v>$$$</v>
      </c>
      <c r="BR202" s="88" t="str">
        <f t="shared" si="5"/>
        <v>$$$</v>
      </c>
      <c r="BS202" s="29" t="e">
        <f t="shared" si="295"/>
        <v>#N/A</v>
      </c>
      <c r="BT202" s="29" t="e">
        <f t="shared" si="295"/>
        <v>#N/A</v>
      </c>
      <c r="BU202" s="29" t="e">
        <f t="shared" si="295"/>
        <v>#N/A</v>
      </c>
      <c r="BV202" s="29" t="e">
        <f t="shared" si="295"/>
        <v>#N/A</v>
      </c>
      <c r="BW202" s="29" t="e">
        <f t="shared" si="295"/>
        <v>#N/A</v>
      </c>
      <c r="BX202" s="29" t="e">
        <f t="shared" si="295"/>
        <v>#N/A</v>
      </c>
      <c r="BY202" s="29" t="e">
        <f t="shared" si="295"/>
        <v>#N/A</v>
      </c>
      <c r="BZ202" s="29" t="e">
        <f t="shared" si="295"/>
        <v>#N/A</v>
      </c>
      <c r="CA202" s="29" t="e">
        <f t="shared" si="295"/>
        <v>#N/A</v>
      </c>
      <c r="CB202" s="29" t="e">
        <f t="shared" si="295"/>
        <v>#N/A</v>
      </c>
      <c r="CC202" s="29" t="e">
        <f t="shared" si="295"/>
        <v>#N/A</v>
      </c>
      <c r="CD202" s="29" t="e">
        <f t="shared" si="295"/>
        <v>#N/A</v>
      </c>
      <c r="CE202" s="6" t="str">
        <f t="shared" si="197"/>
        <v/>
      </c>
      <c r="CF202" s="27" t="e">
        <f>IF(AND(CI202,NOT(AD202)),LOOKUP(CF$5,{0,750,1500},H202:J202),"")</f>
        <v>#N/A</v>
      </c>
      <c r="CG202" s="6" t="str">
        <f t="shared" si="198"/>
        <v/>
      </c>
      <c r="CH202" t="e">
        <f t="shared" si="296"/>
        <v>#N/A</v>
      </c>
      <c r="CI202" t="e">
        <f t="shared" si="297"/>
        <v>#N/A</v>
      </c>
      <c r="CJ202" s="6" t="e">
        <f t="shared" si="11"/>
        <v>#N/A</v>
      </c>
      <c r="CK202" s="6">
        <f t="shared" si="12"/>
        <v>1</v>
      </c>
      <c r="CL202" s="6">
        <f t="shared" ref="CL202:CL205" si="303">IFERROR(--OR(ISBLANK(CL$5),$BJ202="",AND(ISNUMBER($BJ202),$BJ202&lt;=CL$5)),1)</f>
        <v>1</v>
      </c>
      <c r="CM202" s="6">
        <f t="shared" si="13"/>
        <v>1</v>
      </c>
      <c r="CN202" s="6">
        <f t="shared" si="14"/>
        <v>1</v>
      </c>
      <c r="CO202" s="6">
        <f t="shared" si="15"/>
        <v>0</v>
      </c>
      <c r="CP202" s="6">
        <f t="shared" si="16"/>
        <v>1</v>
      </c>
      <c r="CQ202" s="6">
        <f t="shared" si="298"/>
        <v>1</v>
      </c>
      <c r="CR202" s="81" t="str">
        <f t="shared" si="17"/>
        <v/>
      </c>
      <c r="CS202">
        <f t="shared" si="299"/>
        <v>0</v>
      </c>
      <c r="CT202">
        <f t="shared" si="19"/>
        <v>200</v>
      </c>
      <c r="CU202" t="str">
        <f t="shared" ref="CU202:CU205" si="304">IF(AND(ISERR(FIND("remain",$R202)),ISERR(FIND("left",$R202))),"","r")&amp;IF(ISERR(FIND("mon",$R202)),"","m")</f>
        <v/>
      </c>
      <c r="CV202" s="81">
        <f t="shared" si="300"/>
        <v>200</v>
      </c>
      <c r="CW202" s="81">
        <f>(CV202/25)^1.5*(Calculator!$BU$4/10000)*CW$5</f>
        <v>58.426389194959008</v>
      </c>
      <c r="CX202" t="str">
        <f t="shared" si="301"/>
        <v>$200</v>
      </c>
    </row>
    <row r="203" spans="2:102" x14ac:dyDescent="0.25">
      <c r="B203" s="115" t="s">
        <v>233</v>
      </c>
      <c r="C203" s="13">
        <v>46212.852083333331</v>
      </c>
      <c r="D203">
        <v>35724</v>
      </c>
      <c r="E203" s="54" t="s">
        <v>235</v>
      </c>
      <c r="F203" s="54" t="s">
        <v>618</v>
      </c>
      <c r="G203" s="54" t="s">
        <v>619</v>
      </c>
      <c r="H203" s="55">
        <v>14.099999999999998</v>
      </c>
      <c r="I203" s="55">
        <v>13.600000000000001</v>
      </c>
      <c r="J203" s="55">
        <v>13.3</v>
      </c>
      <c r="K203" s="54"/>
      <c r="L203" s="56" t="b">
        <v>0</v>
      </c>
      <c r="M203" s="56" t="b">
        <v>0</v>
      </c>
      <c r="N203" s="54">
        <v>1</v>
      </c>
      <c r="O203" s="54" t="s">
        <v>228</v>
      </c>
      <c r="P203" s="54">
        <v>100</v>
      </c>
      <c r="Q203" s="54">
        <v>14</v>
      </c>
      <c r="R203" s="54">
        <v>200</v>
      </c>
      <c r="S203" s="54" t="s">
        <v>602</v>
      </c>
      <c r="T203" s="54" t="s">
        <v>620</v>
      </c>
      <c r="U203" s="54" t="s">
        <v>604</v>
      </c>
      <c r="V203" s="54" t="s">
        <v>605</v>
      </c>
      <c r="W203" s="54" t="b">
        <v>0</v>
      </c>
      <c r="X203" s="54"/>
      <c r="Y203" s="57" t="s">
        <v>1864</v>
      </c>
      <c r="Z203" s="54" t="s">
        <v>602</v>
      </c>
      <c r="AA203" s="54"/>
      <c r="AB203" s="54" t="s">
        <v>606</v>
      </c>
      <c r="AC203" s="56" t="b">
        <v>1</v>
      </c>
      <c r="AD203" s="56" t="b">
        <v>0</v>
      </c>
      <c r="AE203" s="54" t="s">
        <v>303</v>
      </c>
      <c r="AF203" s="58">
        <v>46212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7.9483999999999999E-2</v>
      </c>
      <c r="BC203" s="60">
        <v>4.9000000000000004</v>
      </c>
      <c r="BD203" s="61">
        <v>5.1461E-2</v>
      </c>
      <c r="BE203" s="62" t="s">
        <v>293</v>
      </c>
      <c r="BF203" s="35">
        <f t="shared" si="302"/>
        <v>4.9000000000000004</v>
      </c>
      <c r="BG203" s="35">
        <f t="shared" si="302"/>
        <v>5.1461E-2</v>
      </c>
      <c r="BH203" s="35" t="str">
        <f t="shared" si="291"/>
        <v>Low</v>
      </c>
      <c r="BI203" s="110">
        <f t="shared" si="292"/>
        <v>0</v>
      </c>
      <c r="BJ203" s="83">
        <f>VLOOKUP($F203,REP_Info!$D$6:$H$250,5,FALSE)</f>
        <v>4.5250000000000004</v>
      </c>
      <c r="BK203" s="30">
        <f t="shared" si="293"/>
        <v>14.0745</v>
      </c>
      <c r="BL203" s="30">
        <f t="shared" si="293"/>
        <v>13.5845</v>
      </c>
      <c r="BM203" s="30">
        <f t="shared" si="293"/>
        <v>13.339499999999997</v>
      </c>
      <c r="BN203" s="29">
        <f t="shared" si="293"/>
        <v>13.257833333333334</v>
      </c>
      <c r="BO203" s="85" t="str">
        <f t="shared" si="2"/>
        <v>$$$</v>
      </c>
      <c r="BP203" s="88" t="str">
        <f t="shared" si="294"/>
        <v>$$$</v>
      </c>
      <c r="BQ203" s="88" t="str">
        <f t="shared" si="4"/>
        <v>$$$</v>
      </c>
      <c r="BR203" s="88" t="str">
        <f t="shared" si="5"/>
        <v>$$$</v>
      </c>
      <c r="BS203" s="29" t="e">
        <f t="shared" si="295"/>
        <v>#N/A</v>
      </c>
      <c r="BT203" s="29" t="e">
        <f t="shared" si="295"/>
        <v>#N/A</v>
      </c>
      <c r="BU203" s="29" t="e">
        <f t="shared" si="295"/>
        <v>#N/A</v>
      </c>
      <c r="BV203" s="29" t="e">
        <f t="shared" si="295"/>
        <v>#N/A</v>
      </c>
      <c r="BW203" s="29" t="e">
        <f t="shared" si="295"/>
        <v>#N/A</v>
      </c>
      <c r="BX203" s="29" t="e">
        <f t="shared" si="295"/>
        <v>#N/A</v>
      </c>
      <c r="BY203" s="29" t="e">
        <f t="shared" si="295"/>
        <v>#N/A</v>
      </c>
      <c r="BZ203" s="29" t="e">
        <f t="shared" si="295"/>
        <v>#N/A</v>
      </c>
      <c r="CA203" s="29" t="e">
        <f t="shared" si="295"/>
        <v>#N/A</v>
      </c>
      <c r="CB203" s="29" t="e">
        <f t="shared" si="295"/>
        <v>#N/A</v>
      </c>
      <c r="CC203" s="29" t="e">
        <f t="shared" si="295"/>
        <v>#N/A</v>
      </c>
      <c r="CD203" s="29" t="e">
        <f t="shared" si="295"/>
        <v>#N/A</v>
      </c>
      <c r="CE203" s="6" t="str">
        <f t="shared" si="197"/>
        <v/>
      </c>
      <c r="CF203" s="27" t="e">
        <f>IF(AND(CI203,NOT(AD203)),LOOKUP(CF$5,{0,750,1500},H203:J203),"")</f>
        <v>#N/A</v>
      </c>
      <c r="CG203" s="6" t="str">
        <f t="shared" si="198"/>
        <v/>
      </c>
      <c r="CH203" t="e">
        <f t="shared" si="296"/>
        <v>#N/A</v>
      </c>
      <c r="CI203" t="e">
        <f t="shared" si="297"/>
        <v>#N/A</v>
      </c>
      <c r="CJ203" s="6" t="e">
        <f t="shared" si="11"/>
        <v>#N/A</v>
      </c>
      <c r="CK203" s="6">
        <f t="shared" si="12"/>
        <v>1</v>
      </c>
      <c r="CL203" s="6">
        <f t="shared" si="303"/>
        <v>1</v>
      </c>
      <c r="CM203" s="6">
        <f t="shared" si="13"/>
        <v>1</v>
      </c>
      <c r="CN203" s="6">
        <f t="shared" si="14"/>
        <v>1</v>
      </c>
      <c r="CO203" s="6">
        <f t="shared" si="15"/>
        <v>0</v>
      </c>
      <c r="CP203" s="6">
        <f t="shared" si="16"/>
        <v>1</v>
      </c>
      <c r="CQ203" s="6">
        <f t="shared" si="298"/>
        <v>1</v>
      </c>
      <c r="CR203" s="81" t="str">
        <f t="shared" si="17"/>
        <v/>
      </c>
      <c r="CS203">
        <f t="shared" si="299"/>
        <v>0</v>
      </c>
      <c r="CT203">
        <f t="shared" si="19"/>
        <v>200</v>
      </c>
      <c r="CU203" t="str">
        <f t="shared" si="304"/>
        <v/>
      </c>
      <c r="CV203" s="81">
        <f t="shared" si="300"/>
        <v>200</v>
      </c>
      <c r="CW203" s="81">
        <f>(CV203/25)^1.5*(Calculator!$BU$4/10000)*CW$5</f>
        <v>58.426389194959008</v>
      </c>
      <c r="CX203" t="str">
        <f t="shared" si="301"/>
        <v>$200</v>
      </c>
    </row>
    <row r="204" spans="2:102" x14ac:dyDescent="0.25">
      <c r="B204" s="115" t="s">
        <v>233</v>
      </c>
      <c r="C204" s="13">
        <v>46212.852083333331</v>
      </c>
      <c r="D204">
        <v>35727</v>
      </c>
      <c r="E204" s="54" t="s">
        <v>237</v>
      </c>
      <c r="F204" s="54" t="s">
        <v>618</v>
      </c>
      <c r="G204" s="54" t="s">
        <v>619</v>
      </c>
      <c r="H204" s="55">
        <v>15</v>
      </c>
      <c r="I204" s="55">
        <v>14.6</v>
      </c>
      <c r="J204" s="55">
        <v>14.399999999999999</v>
      </c>
      <c r="K204" s="54"/>
      <c r="L204" s="56" t="b">
        <v>0</v>
      </c>
      <c r="M204" s="56" t="b">
        <v>0</v>
      </c>
      <c r="N204" s="54">
        <v>1</v>
      </c>
      <c r="O204" s="54" t="s">
        <v>228</v>
      </c>
      <c r="P204" s="54">
        <v>100</v>
      </c>
      <c r="Q204" s="54">
        <v>14</v>
      </c>
      <c r="R204" s="54">
        <v>200</v>
      </c>
      <c r="S204" s="54" t="s">
        <v>602</v>
      </c>
      <c r="T204" s="54" t="s">
        <v>620</v>
      </c>
      <c r="U204" s="54" t="s">
        <v>604</v>
      </c>
      <c r="V204" s="54" t="s">
        <v>605</v>
      </c>
      <c r="W204" s="54" t="b">
        <v>0</v>
      </c>
      <c r="X204" s="54"/>
      <c r="Y204" s="57" t="s">
        <v>1865</v>
      </c>
      <c r="Z204" s="54" t="s">
        <v>602</v>
      </c>
      <c r="AA204" s="54"/>
      <c r="AB204" s="54" t="s">
        <v>606</v>
      </c>
      <c r="AC204" s="56" t="b">
        <v>1</v>
      </c>
      <c r="AD204" s="56" t="b">
        <v>0</v>
      </c>
      <c r="AE204" s="54" t="s">
        <v>303</v>
      </c>
      <c r="AF204" s="58">
        <v>46212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8.0526E-2</v>
      </c>
      <c r="BC204" s="60">
        <v>4.0599999999999996</v>
      </c>
      <c r="BD204" s="61">
        <v>6.1196E-2</v>
      </c>
      <c r="BE204" s="62" t="s">
        <v>293</v>
      </c>
      <c r="BF204" s="35">
        <f t="shared" si="302"/>
        <v>4.0600000000000005</v>
      </c>
      <c r="BG204" s="35">
        <f t="shared" si="302"/>
        <v>6.0295000000000001E-2</v>
      </c>
      <c r="BH204" s="35" t="str">
        <f t="shared" si="291"/>
        <v>Low</v>
      </c>
      <c r="BI204" s="110">
        <f t="shared" si="292"/>
        <v>0</v>
      </c>
      <c r="BJ204" s="83">
        <f>VLOOKUP($F204,REP_Info!$D$6:$H$250,5,FALSE)</f>
        <v>4.5250000000000004</v>
      </c>
      <c r="BK204" s="30">
        <f t="shared" si="293"/>
        <v>14.8941</v>
      </c>
      <c r="BL204" s="30">
        <f t="shared" si="293"/>
        <v>14.488100000000001</v>
      </c>
      <c r="BM204" s="30">
        <f t="shared" si="293"/>
        <v>14.2851</v>
      </c>
      <c r="BN204" s="29">
        <f t="shared" si="293"/>
        <v>14.217433333333334</v>
      </c>
      <c r="BO204" s="85" t="str">
        <f t="shared" si="2"/>
        <v>$$$</v>
      </c>
      <c r="BP204" s="88" t="str">
        <f t="shared" si="294"/>
        <v>$$$</v>
      </c>
      <c r="BQ204" s="88" t="str">
        <f t="shared" si="4"/>
        <v>$$$</v>
      </c>
      <c r="BR204" s="88" t="str">
        <f t="shared" si="5"/>
        <v>$$$</v>
      </c>
      <c r="BS204" s="29" t="e">
        <f t="shared" si="295"/>
        <v>#N/A</v>
      </c>
      <c r="BT204" s="29" t="e">
        <f t="shared" si="295"/>
        <v>#N/A</v>
      </c>
      <c r="BU204" s="29" t="e">
        <f t="shared" si="295"/>
        <v>#N/A</v>
      </c>
      <c r="BV204" s="29" t="e">
        <f t="shared" si="295"/>
        <v>#N/A</v>
      </c>
      <c r="BW204" s="29" t="e">
        <f t="shared" si="295"/>
        <v>#N/A</v>
      </c>
      <c r="BX204" s="29" t="e">
        <f t="shared" si="295"/>
        <v>#N/A</v>
      </c>
      <c r="BY204" s="29" t="e">
        <f t="shared" si="295"/>
        <v>#N/A</v>
      </c>
      <c r="BZ204" s="29" t="e">
        <f t="shared" si="295"/>
        <v>#N/A</v>
      </c>
      <c r="CA204" s="29" t="e">
        <f t="shared" si="295"/>
        <v>#N/A</v>
      </c>
      <c r="CB204" s="29" t="e">
        <f t="shared" si="295"/>
        <v>#N/A</v>
      </c>
      <c r="CC204" s="29" t="e">
        <f t="shared" si="295"/>
        <v>#N/A</v>
      </c>
      <c r="CD204" s="29" t="e">
        <f t="shared" si="295"/>
        <v>#N/A</v>
      </c>
      <c r="CE204" s="6" t="str">
        <f t="shared" si="197"/>
        <v/>
      </c>
      <c r="CF204" s="27" t="e">
        <f>IF(AND(CI204,NOT(AD204)),LOOKUP(CF$5,{0,750,1500},H204:J204),"")</f>
        <v>#N/A</v>
      </c>
      <c r="CG204" s="6" t="str">
        <f t="shared" si="198"/>
        <v/>
      </c>
      <c r="CH204" t="e">
        <f t="shared" si="296"/>
        <v>#N/A</v>
      </c>
      <c r="CI204" t="e">
        <f t="shared" si="297"/>
        <v>#N/A</v>
      </c>
      <c r="CJ204" s="6" t="e">
        <f t="shared" si="11"/>
        <v>#N/A</v>
      </c>
      <c r="CK204" s="6">
        <f t="shared" si="12"/>
        <v>1</v>
      </c>
      <c r="CL204" s="6">
        <f t="shared" si="303"/>
        <v>1</v>
      </c>
      <c r="CM204" s="6">
        <f t="shared" si="13"/>
        <v>1</v>
      </c>
      <c r="CN204" s="6">
        <f t="shared" si="14"/>
        <v>1</v>
      </c>
      <c r="CO204" s="6">
        <f t="shared" si="15"/>
        <v>0</v>
      </c>
      <c r="CP204" s="6">
        <f t="shared" si="16"/>
        <v>1</v>
      </c>
      <c r="CQ204" s="6">
        <f t="shared" si="298"/>
        <v>1</v>
      </c>
      <c r="CR204" s="81" t="str">
        <f t="shared" si="17"/>
        <v/>
      </c>
      <c r="CS204">
        <f t="shared" si="299"/>
        <v>0</v>
      </c>
      <c r="CT204">
        <f t="shared" si="19"/>
        <v>200</v>
      </c>
      <c r="CU204" t="str">
        <f t="shared" si="304"/>
        <v/>
      </c>
      <c r="CV204" s="81">
        <f t="shared" si="300"/>
        <v>200</v>
      </c>
      <c r="CW204" s="81">
        <f>(CV204/25)^1.5*(Calculator!$BU$4/10000)*CW$5</f>
        <v>58.426389194959008</v>
      </c>
      <c r="CX204" t="str">
        <f t="shared" si="301"/>
        <v>$200</v>
      </c>
    </row>
    <row r="205" spans="2:102" x14ac:dyDescent="0.25">
      <c r="B205" s="115" t="s">
        <v>233</v>
      </c>
      <c r="C205" s="13">
        <v>46218.518055555556</v>
      </c>
      <c r="D205">
        <v>35736</v>
      </c>
      <c r="E205" s="54" t="s">
        <v>235</v>
      </c>
      <c r="F205" s="54" t="s">
        <v>618</v>
      </c>
      <c r="G205" s="54" t="s">
        <v>621</v>
      </c>
      <c r="H205" s="55">
        <v>13.5</v>
      </c>
      <c r="I205" s="55">
        <v>13</v>
      </c>
      <c r="J205" s="55">
        <v>12.8</v>
      </c>
      <c r="K205" s="54"/>
      <c r="L205" s="56" t="b">
        <v>0</v>
      </c>
      <c r="M205" s="56" t="b">
        <v>0</v>
      </c>
      <c r="N205" s="54">
        <v>1</v>
      </c>
      <c r="O205" s="54" t="s">
        <v>228</v>
      </c>
      <c r="P205" s="54">
        <v>100</v>
      </c>
      <c r="Q205" s="54">
        <v>24</v>
      </c>
      <c r="R205" s="54">
        <v>250</v>
      </c>
      <c r="S205" s="54" t="s">
        <v>602</v>
      </c>
      <c r="T205" s="54" t="s">
        <v>622</v>
      </c>
      <c r="U205" s="54" t="s">
        <v>604</v>
      </c>
      <c r="V205" s="54" t="s">
        <v>605</v>
      </c>
      <c r="W205" s="54" t="b">
        <v>0</v>
      </c>
      <c r="X205" s="54"/>
      <c r="Y205" s="57" t="s">
        <v>1902</v>
      </c>
      <c r="Z205" s="54" t="s">
        <v>602</v>
      </c>
      <c r="AA205" s="54"/>
      <c r="AB205" s="54" t="s">
        <v>606</v>
      </c>
      <c r="AC205" s="56" t="b">
        <v>1</v>
      </c>
      <c r="AD205" s="56" t="b">
        <v>0</v>
      </c>
      <c r="AE205" s="54" t="s">
        <v>303</v>
      </c>
      <c r="AF205" s="58">
        <v>46217</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7.4077000000000004E-2</v>
      </c>
      <c r="BC205" s="60">
        <v>4.9000000000000004</v>
      </c>
      <c r="BD205" s="61">
        <v>5.1461E-2</v>
      </c>
      <c r="BE205" s="62" t="s">
        <v>293</v>
      </c>
      <c r="BF205" s="35">
        <f t="shared" si="302"/>
        <v>4.9000000000000004</v>
      </c>
      <c r="BG205" s="35">
        <f t="shared" si="302"/>
        <v>5.1461E-2</v>
      </c>
      <c r="BH205" s="35" t="str">
        <f t="shared" si="291"/>
        <v>Low</v>
      </c>
      <c r="BI205" s="110">
        <f t="shared" si="292"/>
        <v>0</v>
      </c>
      <c r="BJ205" s="83">
        <f>VLOOKUP($F205,REP_Info!$D$6:$H$250,5,FALSE)</f>
        <v>4.5250000000000004</v>
      </c>
      <c r="BK205" s="30">
        <f t="shared" si="293"/>
        <v>13.533799999999999</v>
      </c>
      <c r="BL205" s="30">
        <f t="shared" si="293"/>
        <v>13.043799999999999</v>
      </c>
      <c r="BM205" s="30">
        <f t="shared" si="293"/>
        <v>12.7988</v>
      </c>
      <c r="BN205" s="29">
        <f t="shared" si="293"/>
        <v>12.717133333333333</v>
      </c>
      <c r="BO205" s="85" t="str">
        <f t="shared" si="2"/>
        <v>$$$</v>
      </c>
      <c r="BP205" s="88" t="str">
        <f t="shared" si="294"/>
        <v>$$$</v>
      </c>
      <c r="BQ205" s="88" t="str">
        <f t="shared" si="4"/>
        <v>$$$</v>
      </c>
      <c r="BR205" s="88" t="str">
        <f t="shared" si="5"/>
        <v>$$$</v>
      </c>
      <c r="BS205" s="29" t="e">
        <f t="shared" si="295"/>
        <v>#N/A</v>
      </c>
      <c r="BT205" s="29" t="e">
        <f t="shared" si="295"/>
        <v>#N/A</v>
      </c>
      <c r="BU205" s="29" t="e">
        <f t="shared" si="295"/>
        <v>#N/A</v>
      </c>
      <c r="BV205" s="29" t="e">
        <f t="shared" si="295"/>
        <v>#N/A</v>
      </c>
      <c r="BW205" s="29" t="e">
        <f t="shared" si="295"/>
        <v>#N/A</v>
      </c>
      <c r="BX205" s="29" t="e">
        <f t="shared" si="295"/>
        <v>#N/A</v>
      </c>
      <c r="BY205" s="29" t="e">
        <f t="shared" si="295"/>
        <v>#N/A</v>
      </c>
      <c r="BZ205" s="29" t="e">
        <f t="shared" si="295"/>
        <v>#N/A</v>
      </c>
      <c r="CA205" s="29" t="e">
        <f t="shared" si="295"/>
        <v>#N/A</v>
      </c>
      <c r="CB205" s="29" t="e">
        <f t="shared" si="295"/>
        <v>#N/A</v>
      </c>
      <c r="CC205" s="29" t="e">
        <f t="shared" si="295"/>
        <v>#N/A</v>
      </c>
      <c r="CD205" s="29" t="e">
        <f t="shared" si="295"/>
        <v>#N/A</v>
      </c>
      <c r="CE205" s="6" t="str">
        <f t="shared" si="197"/>
        <v/>
      </c>
      <c r="CF205" s="27" t="e">
        <f>IF(AND(CI205,NOT(AD205)),LOOKUP(CF$5,{0,750,1500},H205:J205),"")</f>
        <v>#N/A</v>
      </c>
      <c r="CG205" s="6" t="str">
        <f t="shared" si="198"/>
        <v/>
      </c>
      <c r="CH205" t="e">
        <f t="shared" si="296"/>
        <v>#N/A</v>
      </c>
      <c r="CI205" t="e">
        <f t="shared" si="297"/>
        <v>#N/A</v>
      </c>
      <c r="CJ205" s="6" t="e">
        <f t="shared" si="11"/>
        <v>#N/A</v>
      </c>
      <c r="CK205" s="6">
        <f t="shared" si="12"/>
        <v>1</v>
      </c>
      <c r="CL205" s="6">
        <f t="shared" si="303"/>
        <v>1</v>
      </c>
      <c r="CM205" s="6">
        <f t="shared" si="13"/>
        <v>1</v>
      </c>
      <c r="CN205" s="6">
        <f t="shared" si="14"/>
        <v>1</v>
      </c>
      <c r="CO205" s="6">
        <f t="shared" si="15"/>
        <v>0</v>
      </c>
      <c r="CP205" s="6">
        <f t="shared" si="16"/>
        <v>1</v>
      </c>
      <c r="CQ205" s="6">
        <f t="shared" si="298"/>
        <v>1</v>
      </c>
      <c r="CR205" s="81" t="str">
        <f t="shared" si="17"/>
        <v/>
      </c>
      <c r="CS205">
        <f t="shared" si="299"/>
        <v>0</v>
      </c>
      <c r="CT205">
        <f t="shared" si="19"/>
        <v>250</v>
      </c>
      <c r="CU205" t="str">
        <f t="shared" si="304"/>
        <v/>
      </c>
      <c r="CV205" s="81">
        <f t="shared" si="300"/>
        <v>250</v>
      </c>
      <c r="CW205" s="81">
        <f>(CV205/25)^1.5*(Calculator!$BU$4/10000)*CW$5</f>
        <v>81.653361199867305</v>
      </c>
      <c r="CX205" t="str">
        <f t="shared" si="301"/>
        <v>$250</v>
      </c>
    </row>
    <row r="206" spans="2:102" x14ac:dyDescent="0.25">
      <c r="B206" s="115" t="s">
        <v>233</v>
      </c>
      <c r="C206" s="13">
        <v>46218.518055555556</v>
      </c>
      <c r="D206">
        <v>35740</v>
      </c>
      <c r="E206" s="54" t="s">
        <v>237</v>
      </c>
      <c r="F206" s="54" t="s">
        <v>618</v>
      </c>
      <c r="G206" s="54" t="s">
        <v>621</v>
      </c>
      <c r="H206" s="55">
        <v>14.399999999999999</v>
      </c>
      <c r="I206" s="55">
        <v>14.000000000000002</v>
      </c>
      <c r="J206" s="55">
        <v>13.8</v>
      </c>
      <c r="K206" s="54"/>
      <c r="L206" s="56" t="b">
        <v>0</v>
      </c>
      <c r="M206" s="56" t="b">
        <v>0</v>
      </c>
      <c r="N206" s="54">
        <v>1</v>
      </c>
      <c r="O206" s="54" t="s">
        <v>228</v>
      </c>
      <c r="P206" s="54">
        <v>100</v>
      </c>
      <c r="Q206" s="54">
        <v>24</v>
      </c>
      <c r="R206" s="54">
        <v>250</v>
      </c>
      <c r="S206" s="54" t="s">
        <v>602</v>
      </c>
      <c r="T206" s="54" t="s">
        <v>622</v>
      </c>
      <c r="U206" s="54" t="s">
        <v>604</v>
      </c>
      <c r="V206" s="54" t="s">
        <v>605</v>
      </c>
      <c r="W206" s="54" t="b">
        <v>0</v>
      </c>
      <c r="X206" s="54"/>
      <c r="Y206" s="57" t="s">
        <v>1903</v>
      </c>
      <c r="Z206" s="54" t="s">
        <v>617</v>
      </c>
      <c r="AA206" s="54"/>
      <c r="AB206" s="54" t="s">
        <v>606</v>
      </c>
      <c r="AC206" s="56" t="b">
        <v>1</v>
      </c>
      <c r="AD206" s="56" t="b">
        <v>0</v>
      </c>
      <c r="AE206" s="54" t="s">
        <v>303</v>
      </c>
      <c r="AF206" s="58">
        <v>46217</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7.4453000000000005E-2</v>
      </c>
      <c r="BC206" s="60">
        <v>4.0599999999999996</v>
      </c>
      <c r="BD206" s="61">
        <v>6.1196E-2</v>
      </c>
      <c r="BE206" s="62" t="s">
        <v>293</v>
      </c>
      <c r="BF206" s="35">
        <f t="shared" ref="BF206:BG210" si="305">IF($E206=$E$4,BF$4,IF($E206=$E$5,BF$5,""))</f>
        <v>4.0600000000000005</v>
      </c>
      <c r="BG206" s="35">
        <f t="shared" si="305"/>
        <v>6.0295000000000001E-2</v>
      </c>
      <c r="BH206" s="35" t="str">
        <f t="shared" ref="BH206:BH210" si="306">IF(ISTEXT(BE206),IF(AND(AV206=0,SUM(AN206:AQ206)=0),IF(AM206&lt;=0,IF(BE206="Y","Low","Flat"),"Med"),"High"),"?")</f>
        <v>Low</v>
      </c>
      <c r="BI206" s="110">
        <f t="shared" ref="BI206:BI210" si="307">IF(ISNUMBER(AH206),0*BI$5*SIN((EDATE($A$3,$Q206)-DATE(YEAR(EDATE($A$3,$Q206)),1,0)-BI$4)*2*PI()/365),"")</f>
        <v>0</v>
      </c>
      <c r="BJ206" s="83">
        <f>VLOOKUP($F206,REP_Info!$D$6:$H$250,5,FALSE)</f>
        <v>4.5250000000000004</v>
      </c>
      <c r="BK206" s="30">
        <f t="shared" ref="BK206:BN210" si="308">IF(BK$7&gt;0,(LOOKUP(BK$7,$AH206:$AL206,$AM206:$AQ206)+IF($AG206="Y",SUMPRODUCT($AX206:$BB206-$AW206:$BA206,BK$7-$AR206:$AV206,N(BK$7&gt;$AR206:$AV206)),BK$7*LOOKUP(BK$7,$AR206:$AV206,$AX206:$BB206))+IF($BE206="Y",$BF206,$BC206)+BK$7*IF($BE206="Y",$BG206,$BD206))*100/BK$7,"")</f>
        <v>14.286799999999999</v>
      </c>
      <c r="BL206" s="30">
        <f t="shared" si="308"/>
        <v>13.880799999999999</v>
      </c>
      <c r="BM206" s="30">
        <f t="shared" si="308"/>
        <v>13.677800000000003</v>
      </c>
      <c r="BN206" s="29">
        <f t="shared" si="308"/>
        <v>13.610133333333332</v>
      </c>
      <c r="BO206" s="85" t="str">
        <f t="shared" si="2"/>
        <v>$$$</v>
      </c>
      <c r="BP206" s="88" t="str">
        <f t="shared" ref="BP206:BP210" si="309">IFERROR(BO206*100/BO$5,"$$$")</f>
        <v>$$$</v>
      </c>
      <c r="BQ206" s="88" t="str">
        <f t="shared" si="4"/>
        <v>$$$</v>
      </c>
      <c r="BR206" s="88" t="str">
        <f t="shared" si="5"/>
        <v>$$$</v>
      </c>
      <c r="BS206" s="29" t="e">
        <f t="shared" ref="BS206:CD210" si="310">IF($CI206,IF(BS$7&gt;0,IF(BS$4&gt;$Q206,$BF206+BS$7*(BS$5+$BG206+$BI206),LOOKUP(BS$7,$AH206:$AL206,$AM206:$AQ206)+IF($AG206="Y",SUMPRODUCT($AX206:$BB206-$AW206:$BA206,BS$7-$AR206:$AV206,N(BS$7&gt;$AR206:$AV206)),BS$7*LOOKUP(BS$7,$AR206:$AV206,$AX206:$BB206))+IF($BE206="Y",$BF206,$BC206)+BS$7*IF($BE206="Y",$BG206,$BD206))*100/BS$7,""),NA())</f>
        <v>#N/A</v>
      </c>
      <c r="BT206" s="29" t="e">
        <f t="shared" si="310"/>
        <v>#N/A</v>
      </c>
      <c r="BU206" s="29" t="e">
        <f t="shared" si="310"/>
        <v>#N/A</v>
      </c>
      <c r="BV206" s="29" t="e">
        <f t="shared" si="310"/>
        <v>#N/A</v>
      </c>
      <c r="BW206" s="29" t="e">
        <f t="shared" si="310"/>
        <v>#N/A</v>
      </c>
      <c r="BX206" s="29" t="e">
        <f t="shared" si="310"/>
        <v>#N/A</v>
      </c>
      <c r="BY206" s="29" t="e">
        <f t="shared" si="310"/>
        <v>#N/A</v>
      </c>
      <c r="BZ206" s="29" t="e">
        <f t="shared" si="310"/>
        <v>#N/A</v>
      </c>
      <c r="CA206" s="29" t="e">
        <f t="shared" si="310"/>
        <v>#N/A</v>
      </c>
      <c r="CB206" s="29" t="e">
        <f t="shared" si="310"/>
        <v>#N/A</v>
      </c>
      <c r="CC206" s="29" t="e">
        <f t="shared" si="310"/>
        <v>#N/A</v>
      </c>
      <c r="CD206" s="29" t="e">
        <f t="shared" si="310"/>
        <v>#N/A</v>
      </c>
      <c r="CE206" s="6" t="str">
        <f t="shared" si="197"/>
        <v/>
      </c>
      <c r="CF206" s="27" t="e">
        <f>IF(AND(CI206,NOT(AD206)),LOOKUP(CF$5,{0,750,1500},H206:J206),"")</f>
        <v>#N/A</v>
      </c>
      <c r="CG206" s="6" t="str">
        <f t="shared" si="198"/>
        <v/>
      </c>
      <c r="CH206" t="e">
        <f t="shared" ref="CH206:CH210" si="311">IF(CI206,IF(ISNUMBER(BO206),BO206,100000)+CV206/10000+IF(ISNUMBER(BJ206),BJ206,2)/10000-P206/100000+ROW()/10000000,"")</f>
        <v>#N/A</v>
      </c>
      <c r="CI206" t="e">
        <f t="shared" ref="CI206:CI210" si="312">PRODUCT(CJ206:CQ206)</f>
        <v>#N/A</v>
      </c>
      <c r="CJ206" s="6" t="e">
        <f t="shared" si="11"/>
        <v>#N/A</v>
      </c>
      <c r="CK206" s="6">
        <f t="shared" si="12"/>
        <v>1</v>
      </c>
      <c r="CL206" s="6">
        <f t="shared" si="26"/>
        <v>1</v>
      </c>
      <c r="CM206" s="6">
        <f t="shared" si="13"/>
        <v>1</v>
      </c>
      <c r="CN206" s="6">
        <f t="shared" si="14"/>
        <v>1</v>
      </c>
      <c r="CO206" s="6">
        <f t="shared" si="15"/>
        <v>0</v>
      </c>
      <c r="CP206" s="6">
        <f t="shared" si="16"/>
        <v>1</v>
      </c>
      <c r="CQ206" s="6">
        <f t="shared" ref="CQ206:CQ210" si="313">IF(CQ$5="Any",1,IF(AND(CQ$5="Med",AV206=0,SUM(AN206:AQ206)=0),1,IF(AND(CQ$5="Low",AV206=0,SUM(AN206:AQ206)=0,AM206=0),1,IF(AND(CQ$5="Flat",AV206=0,SUM(AN206:AQ206)=0,AM206=0,IFERROR(NOT(BE206="Y"),0)),1,0))))</f>
        <v>1</v>
      </c>
      <c r="CR206" s="81" t="str">
        <f t="shared" si="17"/>
        <v/>
      </c>
      <c r="CS206">
        <f t="shared" ref="CS206:CS210" si="314">CS$5*(12/(MIN(12,Q206))-1)</f>
        <v>0</v>
      </c>
      <c r="CT206">
        <f t="shared" si="19"/>
        <v>250</v>
      </c>
      <c r="CU206" t="str">
        <f t="shared" si="29"/>
        <v/>
      </c>
      <c r="CV206" s="81">
        <f t="shared" ref="CV206:CV210" si="315">CT206*IF(CU206="",1,Q206)</f>
        <v>250</v>
      </c>
      <c r="CW206" s="81">
        <f>(CV206/25)^1.5*(Calculator!$BU$4/10000)*CW$5</f>
        <v>81.653361199867305</v>
      </c>
      <c r="CX206" t="str">
        <f t="shared" ref="CX206:CX210" si="316">"$"&amp;IF(LEFT(CU206,1)="r",CT206&amp;"/"&amp;CU206,CV206)</f>
        <v>$250</v>
      </c>
    </row>
    <row r="207" spans="2:102" x14ac:dyDescent="0.25">
      <c r="B207" s="115" t="s">
        <v>233</v>
      </c>
      <c r="C207" s="13">
        <v>46236.341666666667</v>
      </c>
      <c r="D207">
        <v>20182</v>
      </c>
      <c r="E207" s="54" t="s">
        <v>235</v>
      </c>
      <c r="F207" s="54" t="s">
        <v>623</v>
      </c>
      <c r="G207" s="54" t="s">
        <v>1943</v>
      </c>
      <c r="H207" s="55">
        <v>16.5</v>
      </c>
      <c r="I207" s="55">
        <v>16</v>
      </c>
      <c r="J207" s="55">
        <v>15.8</v>
      </c>
      <c r="K207" s="54"/>
      <c r="L207" s="56" t="b">
        <v>1</v>
      </c>
      <c r="M207" s="56" t="b">
        <v>0</v>
      </c>
      <c r="N207" s="54">
        <v>1</v>
      </c>
      <c r="O207" s="54" t="s">
        <v>228</v>
      </c>
      <c r="P207" s="54">
        <v>26</v>
      </c>
      <c r="Q207" s="54">
        <v>6</v>
      </c>
      <c r="R207" s="54">
        <v>49</v>
      </c>
      <c r="S207" s="54" t="s">
        <v>1944</v>
      </c>
      <c r="T207" s="54" t="s">
        <v>1945</v>
      </c>
      <c r="U207" s="54" t="s">
        <v>1938</v>
      </c>
      <c r="V207" s="54" t="s">
        <v>1946</v>
      </c>
      <c r="W207" s="54" t="b">
        <v>0</v>
      </c>
      <c r="X207" s="54"/>
      <c r="Y207" s="57" t="s">
        <v>1947</v>
      </c>
      <c r="Z207" s="54" t="s">
        <v>1948</v>
      </c>
      <c r="AA207" s="54" t="s">
        <v>1949</v>
      </c>
      <c r="AB207" s="54" t="s">
        <v>1950</v>
      </c>
      <c r="AC207" s="56" t="b">
        <v>1</v>
      </c>
      <c r="AD207" s="56" t="b">
        <v>0</v>
      </c>
      <c r="AE207" s="54" t="s">
        <v>303</v>
      </c>
      <c r="AF207" s="58">
        <v>46235</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0.104</v>
      </c>
      <c r="BC207" s="60">
        <v>4.9000000000000004</v>
      </c>
      <c r="BD207" s="61">
        <v>5.1461E-2</v>
      </c>
      <c r="BE207" s="62" t="s">
        <v>293</v>
      </c>
      <c r="BF207" s="35">
        <f t="shared" si="305"/>
        <v>4.9000000000000004</v>
      </c>
      <c r="BG207" s="35">
        <f t="shared" si="305"/>
        <v>5.1461E-2</v>
      </c>
      <c r="BH207" s="35" t="str">
        <f t="shared" si="306"/>
        <v>Low</v>
      </c>
      <c r="BI207" s="110">
        <f t="shared" si="307"/>
        <v>0</v>
      </c>
      <c r="BJ207" s="83">
        <f>VLOOKUP($F207,REP_Info!$D$6:$H$250,5,FALSE)</f>
        <v>2.665</v>
      </c>
      <c r="BK207" s="30">
        <f t="shared" si="308"/>
        <v>16.5261</v>
      </c>
      <c r="BL207" s="30">
        <f t="shared" si="308"/>
        <v>16.036099999999998</v>
      </c>
      <c r="BM207" s="30">
        <f t="shared" si="308"/>
        <v>15.7911</v>
      </c>
      <c r="BN207" s="29">
        <f t="shared" si="308"/>
        <v>15.709433333333335</v>
      </c>
      <c r="BO207" s="85" t="str">
        <f t="shared" si="2"/>
        <v>$$$</v>
      </c>
      <c r="BP207" s="88" t="str">
        <f t="shared" si="309"/>
        <v>$$$</v>
      </c>
      <c r="BQ207" s="88" t="str">
        <f t="shared" si="4"/>
        <v>$$$</v>
      </c>
      <c r="BR207" s="88" t="str">
        <f t="shared" si="5"/>
        <v>$$$</v>
      </c>
      <c r="BS207" s="29" t="e">
        <f t="shared" si="310"/>
        <v>#N/A</v>
      </c>
      <c r="BT207" s="29" t="e">
        <f t="shared" si="310"/>
        <v>#N/A</v>
      </c>
      <c r="BU207" s="29" t="e">
        <f t="shared" si="310"/>
        <v>#N/A</v>
      </c>
      <c r="BV207" s="29" t="e">
        <f t="shared" si="310"/>
        <v>#N/A</v>
      </c>
      <c r="BW207" s="29" t="e">
        <f t="shared" si="310"/>
        <v>#N/A</v>
      </c>
      <c r="BX207" s="29" t="e">
        <f t="shared" si="310"/>
        <v>#N/A</v>
      </c>
      <c r="BY207" s="29" t="e">
        <f t="shared" si="310"/>
        <v>#N/A</v>
      </c>
      <c r="BZ207" s="29" t="e">
        <f t="shared" si="310"/>
        <v>#N/A</v>
      </c>
      <c r="CA207" s="29" t="e">
        <f t="shared" si="310"/>
        <v>#N/A</v>
      </c>
      <c r="CB207" s="29" t="e">
        <f t="shared" si="310"/>
        <v>#N/A</v>
      </c>
      <c r="CC207" s="29" t="e">
        <f t="shared" si="310"/>
        <v>#N/A</v>
      </c>
      <c r="CD207" s="29" t="e">
        <f t="shared" si="310"/>
        <v>#N/A</v>
      </c>
      <c r="CE207" s="6" t="str">
        <f t="shared" si="197"/>
        <v/>
      </c>
      <c r="CF207" s="27" t="e">
        <f>IF(AND(CI207,NOT(AD207)),LOOKUP(CF$5,{0,750,1500},H207:J207),"")</f>
        <v>#N/A</v>
      </c>
      <c r="CG207" s="6" t="str">
        <f t="shared" si="198"/>
        <v/>
      </c>
      <c r="CH207" t="e">
        <f t="shared" si="311"/>
        <v>#N/A</v>
      </c>
      <c r="CI207" t="e">
        <f t="shared" si="312"/>
        <v>#N/A</v>
      </c>
      <c r="CJ207" s="6" t="e">
        <f t="shared" si="11"/>
        <v>#N/A</v>
      </c>
      <c r="CK207" s="6">
        <f t="shared" si="12"/>
        <v>1</v>
      </c>
      <c r="CL207" s="6">
        <f t="shared" si="26"/>
        <v>1</v>
      </c>
      <c r="CM207" s="6">
        <f t="shared" si="13"/>
        <v>1</v>
      </c>
      <c r="CN207" s="6">
        <f t="shared" si="14"/>
        <v>0</v>
      </c>
      <c r="CO207" s="6">
        <f t="shared" si="15"/>
        <v>1</v>
      </c>
      <c r="CP207" s="6">
        <f t="shared" si="16"/>
        <v>1</v>
      </c>
      <c r="CQ207" s="6">
        <f t="shared" si="313"/>
        <v>1</v>
      </c>
      <c r="CR207" s="81" t="str">
        <f t="shared" si="17"/>
        <v/>
      </c>
      <c r="CS207">
        <f t="shared" si="314"/>
        <v>18</v>
      </c>
      <c r="CT207">
        <f t="shared" si="19"/>
        <v>49</v>
      </c>
      <c r="CU207" t="str">
        <f t="shared" si="29"/>
        <v/>
      </c>
      <c r="CV207" s="81">
        <f t="shared" si="315"/>
        <v>49</v>
      </c>
      <c r="CW207" s="81">
        <f>(CV207/25)^1.5*(Calculator!$BU$4/10000)*CW$5</f>
        <v>7.0852988639999941</v>
      </c>
      <c r="CX207" t="str">
        <f t="shared" si="316"/>
        <v>$49</v>
      </c>
    </row>
    <row r="208" spans="2:102" x14ac:dyDescent="0.25">
      <c r="B208" s="115" t="s">
        <v>233</v>
      </c>
      <c r="C208" s="13">
        <v>46236.341666666667</v>
      </c>
      <c r="D208">
        <v>20183</v>
      </c>
      <c r="E208" s="54" t="s">
        <v>235</v>
      </c>
      <c r="F208" s="54" t="s">
        <v>623</v>
      </c>
      <c r="G208" s="54" t="s">
        <v>1951</v>
      </c>
      <c r="H208" s="55">
        <v>16.5</v>
      </c>
      <c r="I208" s="55">
        <v>16</v>
      </c>
      <c r="J208" s="55">
        <v>15.8</v>
      </c>
      <c r="K208" s="54"/>
      <c r="L208" s="56" t="b">
        <v>1</v>
      </c>
      <c r="M208" s="56" t="b">
        <v>0</v>
      </c>
      <c r="N208" s="54">
        <v>1</v>
      </c>
      <c r="O208" s="54" t="s">
        <v>228</v>
      </c>
      <c r="P208" s="54">
        <v>26</v>
      </c>
      <c r="Q208" s="54">
        <v>12</v>
      </c>
      <c r="R208" s="54">
        <v>49</v>
      </c>
      <c r="S208" s="54" t="s">
        <v>1944</v>
      </c>
      <c r="T208" s="54" t="s">
        <v>1952</v>
      </c>
      <c r="U208" s="54" t="s">
        <v>1940</v>
      </c>
      <c r="V208" s="54" t="s">
        <v>1953</v>
      </c>
      <c r="W208" s="54" t="b">
        <v>0</v>
      </c>
      <c r="X208" s="54"/>
      <c r="Y208" s="57" t="s">
        <v>1954</v>
      </c>
      <c r="Z208" s="54" t="s">
        <v>1948</v>
      </c>
      <c r="AA208" s="54" t="s">
        <v>1955</v>
      </c>
      <c r="AB208" s="54" t="s">
        <v>1950</v>
      </c>
      <c r="AC208" s="56" t="b">
        <v>1</v>
      </c>
      <c r="AD208" s="56" t="b">
        <v>0</v>
      </c>
      <c r="AE208" s="54" t="s">
        <v>303</v>
      </c>
      <c r="AF208" s="58">
        <v>46235</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0.104</v>
      </c>
      <c r="BC208" s="60">
        <v>4.9000000000000004</v>
      </c>
      <c r="BD208" s="61">
        <v>5.1461E-2</v>
      </c>
      <c r="BE208" s="62" t="s">
        <v>293</v>
      </c>
      <c r="BF208" s="35">
        <f t="shared" si="305"/>
        <v>4.9000000000000004</v>
      </c>
      <c r="BG208" s="35">
        <f t="shared" si="305"/>
        <v>5.1461E-2</v>
      </c>
      <c r="BH208" s="35" t="str">
        <f t="shared" si="306"/>
        <v>Low</v>
      </c>
      <c r="BI208" s="110">
        <f t="shared" si="307"/>
        <v>0</v>
      </c>
      <c r="BJ208" s="83">
        <f>VLOOKUP($F208,REP_Info!$D$6:$H$250,5,FALSE)</f>
        <v>2.665</v>
      </c>
      <c r="BK208" s="30">
        <f t="shared" si="308"/>
        <v>16.5261</v>
      </c>
      <c r="BL208" s="30">
        <f t="shared" si="308"/>
        <v>16.036099999999998</v>
      </c>
      <c r="BM208" s="30">
        <f t="shared" si="308"/>
        <v>15.7911</v>
      </c>
      <c r="BN208" s="29">
        <f t="shared" si="308"/>
        <v>15.709433333333335</v>
      </c>
      <c r="BO208" s="85" t="str">
        <f t="shared" si="2"/>
        <v>$$$</v>
      </c>
      <c r="BP208" s="88" t="str">
        <f t="shared" si="309"/>
        <v>$$$</v>
      </c>
      <c r="BQ208" s="88" t="str">
        <f t="shared" si="4"/>
        <v>$$$</v>
      </c>
      <c r="BR208" s="88" t="str">
        <f t="shared" si="5"/>
        <v>$$$</v>
      </c>
      <c r="BS208" s="29" t="e">
        <f t="shared" si="310"/>
        <v>#N/A</v>
      </c>
      <c r="BT208" s="29" t="e">
        <f t="shared" si="310"/>
        <v>#N/A</v>
      </c>
      <c r="BU208" s="29" t="e">
        <f t="shared" si="310"/>
        <v>#N/A</v>
      </c>
      <c r="BV208" s="29" t="e">
        <f t="shared" si="310"/>
        <v>#N/A</v>
      </c>
      <c r="BW208" s="29" t="e">
        <f t="shared" si="310"/>
        <v>#N/A</v>
      </c>
      <c r="BX208" s="29" t="e">
        <f t="shared" si="310"/>
        <v>#N/A</v>
      </c>
      <c r="BY208" s="29" t="e">
        <f t="shared" si="310"/>
        <v>#N/A</v>
      </c>
      <c r="BZ208" s="29" t="e">
        <f t="shared" si="310"/>
        <v>#N/A</v>
      </c>
      <c r="CA208" s="29" t="e">
        <f t="shared" si="310"/>
        <v>#N/A</v>
      </c>
      <c r="CB208" s="29" t="e">
        <f t="shared" si="310"/>
        <v>#N/A</v>
      </c>
      <c r="CC208" s="29" t="e">
        <f t="shared" si="310"/>
        <v>#N/A</v>
      </c>
      <c r="CD208" s="29" t="e">
        <f t="shared" si="310"/>
        <v>#N/A</v>
      </c>
      <c r="CE208" s="6" t="str">
        <f t="shared" si="197"/>
        <v/>
      </c>
      <c r="CF208" s="27" t="e">
        <f>IF(AND(CI208,NOT(AD208)),LOOKUP(CF$5,{0,750,1500},H208:J208),"")</f>
        <v>#N/A</v>
      </c>
      <c r="CG208" s="6" t="str">
        <f t="shared" si="198"/>
        <v/>
      </c>
      <c r="CH208" t="e">
        <f t="shared" si="311"/>
        <v>#N/A</v>
      </c>
      <c r="CI208" t="e">
        <f t="shared" si="312"/>
        <v>#N/A</v>
      </c>
      <c r="CJ208" s="6" t="e">
        <f t="shared" si="11"/>
        <v>#N/A</v>
      </c>
      <c r="CK208" s="6">
        <f t="shared" si="12"/>
        <v>1</v>
      </c>
      <c r="CL208" s="6">
        <f t="shared" si="26"/>
        <v>1</v>
      </c>
      <c r="CM208" s="6">
        <f t="shared" si="13"/>
        <v>1</v>
      </c>
      <c r="CN208" s="6">
        <f t="shared" si="14"/>
        <v>1</v>
      </c>
      <c r="CO208" s="6">
        <f t="shared" si="15"/>
        <v>1</v>
      </c>
      <c r="CP208" s="6">
        <f t="shared" si="16"/>
        <v>1</v>
      </c>
      <c r="CQ208" s="6">
        <f t="shared" si="313"/>
        <v>1</v>
      </c>
      <c r="CR208" s="81" t="str">
        <f t="shared" si="17"/>
        <v/>
      </c>
      <c r="CS208">
        <f t="shared" si="314"/>
        <v>0</v>
      </c>
      <c r="CT208">
        <f t="shared" si="19"/>
        <v>49</v>
      </c>
      <c r="CU208" t="str">
        <f t="shared" si="29"/>
        <v/>
      </c>
      <c r="CV208" s="81">
        <f t="shared" si="315"/>
        <v>49</v>
      </c>
      <c r="CW208" s="81">
        <f>(CV208/25)^1.5*(Calculator!$BU$4/10000)*CW$5</f>
        <v>7.0852988639999941</v>
      </c>
      <c r="CX208" t="str">
        <f t="shared" si="316"/>
        <v>$49</v>
      </c>
    </row>
    <row r="209" spans="2:102" x14ac:dyDescent="0.25">
      <c r="B209" s="115" t="s">
        <v>233</v>
      </c>
      <c r="C209" s="13">
        <v>46236.341666666667</v>
      </c>
      <c r="D209">
        <v>20186</v>
      </c>
      <c r="E209" s="54" t="s">
        <v>237</v>
      </c>
      <c r="F209" s="54" t="s">
        <v>623</v>
      </c>
      <c r="G209" s="54" t="s">
        <v>1943</v>
      </c>
      <c r="H209" s="55">
        <v>17.100000000000001</v>
      </c>
      <c r="I209" s="55">
        <v>16.7</v>
      </c>
      <c r="J209" s="55">
        <v>16.5</v>
      </c>
      <c r="K209" s="54"/>
      <c r="L209" s="56" t="b">
        <v>1</v>
      </c>
      <c r="M209" s="56" t="b">
        <v>0</v>
      </c>
      <c r="N209" s="54">
        <v>1</v>
      </c>
      <c r="O209" s="54" t="s">
        <v>228</v>
      </c>
      <c r="P209" s="54">
        <v>26</v>
      </c>
      <c r="Q209" s="54">
        <v>6</v>
      </c>
      <c r="R209" s="54">
        <v>49</v>
      </c>
      <c r="S209" s="54" t="s">
        <v>1944</v>
      </c>
      <c r="T209" s="54" t="s">
        <v>1956</v>
      </c>
      <c r="U209" s="54" t="s">
        <v>1941</v>
      </c>
      <c r="V209" s="54" t="s">
        <v>1946</v>
      </c>
      <c r="W209" s="54" t="b">
        <v>0</v>
      </c>
      <c r="X209" s="54"/>
      <c r="Y209" s="57" t="s">
        <v>1957</v>
      </c>
      <c r="Z209" s="54" t="s">
        <v>1948</v>
      </c>
      <c r="AA209" s="54" t="s">
        <v>1958</v>
      </c>
      <c r="AB209" s="54" t="s">
        <v>1950</v>
      </c>
      <c r="AC209" s="56" t="b">
        <v>1</v>
      </c>
      <c r="AD209" s="56" t="b">
        <v>0</v>
      </c>
      <c r="AE209" s="54" t="s">
        <v>303</v>
      </c>
      <c r="AF209" s="58">
        <v>46235</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0.10299999999999999</v>
      </c>
      <c r="BC209" s="60">
        <v>4.0599999999999996</v>
      </c>
      <c r="BD209" s="61">
        <v>6.0295000000000001E-2</v>
      </c>
      <c r="BE209" s="62" t="s">
        <v>293</v>
      </c>
      <c r="BF209" s="35">
        <f t="shared" si="305"/>
        <v>4.0600000000000005</v>
      </c>
      <c r="BG209" s="35">
        <f t="shared" si="305"/>
        <v>6.0295000000000001E-2</v>
      </c>
      <c r="BH209" s="35" t="str">
        <f t="shared" si="306"/>
        <v>Low</v>
      </c>
      <c r="BI209" s="110">
        <f t="shared" si="307"/>
        <v>0</v>
      </c>
      <c r="BJ209" s="83">
        <f>VLOOKUP($F209,REP_Info!$D$6:$H$250,5,FALSE)</f>
        <v>2.665</v>
      </c>
      <c r="BK209" s="30">
        <f t="shared" si="308"/>
        <v>17.141500000000004</v>
      </c>
      <c r="BL209" s="30">
        <f t="shared" si="308"/>
        <v>16.735499999999998</v>
      </c>
      <c r="BM209" s="30">
        <f t="shared" si="308"/>
        <v>16.532499999999999</v>
      </c>
      <c r="BN209" s="29">
        <f t="shared" si="308"/>
        <v>16.464833333333335</v>
      </c>
      <c r="BO209" s="85" t="str">
        <f t="shared" si="2"/>
        <v>$$$</v>
      </c>
      <c r="BP209" s="88" t="str">
        <f t="shared" si="309"/>
        <v>$$$</v>
      </c>
      <c r="BQ209" s="88" t="str">
        <f t="shared" si="4"/>
        <v>$$$</v>
      </c>
      <c r="BR209" s="88" t="str">
        <f t="shared" si="5"/>
        <v>$$$</v>
      </c>
      <c r="BS209" s="29" t="e">
        <f t="shared" si="310"/>
        <v>#N/A</v>
      </c>
      <c r="BT209" s="29" t="e">
        <f t="shared" si="310"/>
        <v>#N/A</v>
      </c>
      <c r="BU209" s="29" t="e">
        <f t="shared" si="310"/>
        <v>#N/A</v>
      </c>
      <c r="BV209" s="29" t="e">
        <f t="shared" si="310"/>
        <v>#N/A</v>
      </c>
      <c r="BW209" s="29" t="e">
        <f t="shared" si="310"/>
        <v>#N/A</v>
      </c>
      <c r="BX209" s="29" t="e">
        <f t="shared" si="310"/>
        <v>#N/A</v>
      </c>
      <c r="BY209" s="29" t="e">
        <f t="shared" si="310"/>
        <v>#N/A</v>
      </c>
      <c r="BZ209" s="29" t="e">
        <f t="shared" si="310"/>
        <v>#N/A</v>
      </c>
      <c r="CA209" s="29" t="e">
        <f t="shared" si="310"/>
        <v>#N/A</v>
      </c>
      <c r="CB209" s="29" t="e">
        <f t="shared" si="310"/>
        <v>#N/A</v>
      </c>
      <c r="CC209" s="29" t="e">
        <f t="shared" si="310"/>
        <v>#N/A</v>
      </c>
      <c r="CD209" s="29" t="e">
        <f t="shared" si="310"/>
        <v>#N/A</v>
      </c>
      <c r="CE209" s="6" t="str">
        <f t="shared" si="197"/>
        <v/>
      </c>
      <c r="CF209" s="27" t="e">
        <f>IF(AND(CI209,NOT(AD209)),LOOKUP(CF$5,{0,750,1500},H209:J209),"")</f>
        <v>#N/A</v>
      </c>
      <c r="CG209" s="6" t="str">
        <f t="shared" si="198"/>
        <v/>
      </c>
      <c r="CH209" t="e">
        <f t="shared" si="311"/>
        <v>#N/A</v>
      </c>
      <c r="CI209" t="e">
        <f t="shared" si="312"/>
        <v>#N/A</v>
      </c>
      <c r="CJ209" s="6" t="e">
        <f t="shared" si="11"/>
        <v>#N/A</v>
      </c>
      <c r="CK209" s="6">
        <f t="shared" si="12"/>
        <v>1</v>
      </c>
      <c r="CL209" s="6">
        <f t="shared" si="26"/>
        <v>1</v>
      </c>
      <c r="CM209" s="6">
        <f t="shared" si="13"/>
        <v>1</v>
      </c>
      <c r="CN209" s="6">
        <f t="shared" si="14"/>
        <v>0</v>
      </c>
      <c r="CO209" s="6">
        <f t="shared" si="15"/>
        <v>1</v>
      </c>
      <c r="CP209" s="6">
        <f t="shared" si="16"/>
        <v>1</v>
      </c>
      <c r="CQ209" s="6">
        <f t="shared" si="313"/>
        <v>1</v>
      </c>
      <c r="CR209" s="81" t="str">
        <f t="shared" si="17"/>
        <v/>
      </c>
      <c r="CS209">
        <f t="shared" si="314"/>
        <v>18</v>
      </c>
      <c r="CT209">
        <f t="shared" si="19"/>
        <v>49</v>
      </c>
      <c r="CU209" t="str">
        <f t="shared" si="29"/>
        <v/>
      </c>
      <c r="CV209" s="81">
        <f t="shared" si="315"/>
        <v>49</v>
      </c>
      <c r="CW209" s="81">
        <f>(CV209/25)^1.5*(Calculator!$BU$4/10000)*CW$5</f>
        <v>7.0852988639999941</v>
      </c>
      <c r="CX209" t="str">
        <f t="shared" si="316"/>
        <v>$49</v>
      </c>
    </row>
    <row r="210" spans="2:102" x14ac:dyDescent="0.25">
      <c r="B210" s="115" t="s">
        <v>233</v>
      </c>
      <c r="C210" s="13">
        <v>46236.341666666667</v>
      </c>
      <c r="D210">
        <v>20187</v>
      </c>
      <c r="E210" s="54" t="s">
        <v>237</v>
      </c>
      <c r="F210" s="54" t="s">
        <v>623</v>
      </c>
      <c r="G210" s="54" t="s">
        <v>1951</v>
      </c>
      <c r="H210" s="55">
        <v>17.100000000000001</v>
      </c>
      <c r="I210" s="55">
        <v>16.7</v>
      </c>
      <c r="J210" s="55">
        <v>16.5</v>
      </c>
      <c r="K210" s="54"/>
      <c r="L210" s="56" t="b">
        <v>1</v>
      </c>
      <c r="M210" s="56" t="b">
        <v>0</v>
      </c>
      <c r="N210" s="54">
        <v>1</v>
      </c>
      <c r="O210" s="54" t="s">
        <v>228</v>
      </c>
      <c r="P210" s="54">
        <v>26</v>
      </c>
      <c r="Q210" s="54">
        <v>12</v>
      </c>
      <c r="R210" s="54">
        <v>49</v>
      </c>
      <c r="S210" s="54" t="s">
        <v>1944</v>
      </c>
      <c r="T210" s="54" t="s">
        <v>1952</v>
      </c>
      <c r="U210" s="54" t="s">
        <v>1942</v>
      </c>
      <c r="V210" s="54" t="s">
        <v>1953</v>
      </c>
      <c r="W210" s="54" t="b">
        <v>0</v>
      </c>
      <c r="X210" s="54"/>
      <c r="Y210" s="57" t="s">
        <v>1959</v>
      </c>
      <c r="Z210" s="54" t="s">
        <v>1948</v>
      </c>
      <c r="AA210" s="54" t="s">
        <v>1960</v>
      </c>
      <c r="AB210" s="54" t="s">
        <v>1950</v>
      </c>
      <c r="AC210" s="56" t="b">
        <v>1</v>
      </c>
      <c r="AD210" s="56" t="b">
        <v>0</v>
      </c>
      <c r="AE210" s="54" t="s">
        <v>303</v>
      </c>
      <c r="AF210" s="58">
        <v>46235</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0.10299999999999999</v>
      </c>
      <c r="BC210" s="60">
        <v>4.0599999999999996</v>
      </c>
      <c r="BD210" s="61">
        <v>6.0295000000000001E-2</v>
      </c>
      <c r="BE210" s="62" t="s">
        <v>293</v>
      </c>
      <c r="BF210" s="35">
        <f t="shared" si="305"/>
        <v>4.0600000000000005</v>
      </c>
      <c r="BG210" s="35">
        <f t="shared" si="305"/>
        <v>6.0295000000000001E-2</v>
      </c>
      <c r="BH210" s="35" t="str">
        <f t="shared" si="306"/>
        <v>Low</v>
      </c>
      <c r="BI210" s="110">
        <f t="shared" si="307"/>
        <v>0</v>
      </c>
      <c r="BJ210" s="83">
        <f>VLOOKUP($F210,REP_Info!$D$6:$H$250,5,FALSE)</f>
        <v>2.665</v>
      </c>
      <c r="BK210" s="30">
        <f t="shared" si="308"/>
        <v>17.141500000000004</v>
      </c>
      <c r="BL210" s="30">
        <f t="shared" si="308"/>
        <v>16.735499999999998</v>
      </c>
      <c r="BM210" s="30">
        <f t="shared" si="308"/>
        <v>16.532499999999999</v>
      </c>
      <c r="BN210" s="29">
        <f t="shared" si="308"/>
        <v>16.464833333333335</v>
      </c>
      <c r="BO210" s="85" t="str">
        <f t="shared" si="2"/>
        <v>$$$</v>
      </c>
      <c r="BP210" s="88" t="str">
        <f t="shared" si="309"/>
        <v>$$$</v>
      </c>
      <c r="BQ210" s="88" t="str">
        <f t="shared" si="4"/>
        <v>$$$</v>
      </c>
      <c r="BR210" s="88" t="str">
        <f t="shared" si="5"/>
        <v>$$$</v>
      </c>
      <c r="BS210" s="29" t="e">
        <f t="shared" si="310"/>
        <v>#N/A</v>
      </c>
      <c r="BT210" s="29" t="e">
        <f t="shared" si="310"/>
        <v>#N/A</v>
      </c>
      <c r="BU210" s="29" t="e">
        <f t="shared" si="310"/>
        <v>#N/A</v>
      </c>
      <c r="BV210" s="29" t="e">
        <f t="shared" si="310"/>
        <v>#N/A</v>
      </c>
      <c r="BW210" s="29" t="e">
        <f t="shared" si="310"/>
        <v>#N/A</v>
      </c>
      <c r="BX210" s="29" t="e">
        <f t="shared" si="310"/>
        <v>#N/A</v>
      </c>
      <c r="BY210" s="29" t="e">
        <f t="shared" si="310"/>
        <v>#N/A</v>
      </c>
      <c r="BZ210" s="29" t="e">
        <f t="shared" si="310"/>
        <v>#N/A</v>
      </c>
      <c r="CA210" s="29" t="e">
        <f t="shared" si="310"/>
        <v>#N/A</v>
      </c>
      <c r="CB210" s="29" t="e">
        <f t="shared" si="310"/>
        <v>#N/A</v>
      </c>
      <c r="CC210" s="29" t="e">
        <f t="shared" si="310"/>
        <v>#N/A</v>
      </c>
      <c r="CD210" s="29" t="e">
        <f t="shared" si="310"/>
        <v>#N/A</v>
      </c>
      <c r="CE210" s="6" t="str">
        <f t="shared" si="197"/>
        <v/>
      </c>
      <c r="CF210" s="27" t="e">
        <f>IF(AND(CI210,NOT(AD210)),LOOKUP(CF$5,{0,750,1500},H210:J210),"")</f>
        <v>#N/A</v>
      </c>
      <c r="CG210" s="6" t="str">
        <f t="shared" si="198"/>
        <v/>
      </c>
      <c r="CH210" t="e">
        <f t="shared" si="311"/>
        <v>#N/A</v>
      </c>
      <c r="CI210" t="e">
        <f t="shared" si="312"/>
        <v>#N/A</v>
      </c>
      <c r="CJ210" s="6" t="e">
        <f t="shared" si="11"/>
        <v>#N/A</v>
      </c>
      <c r="CK210" s="6">
        <f t="shared" si="12"/>
        <v>1</v>
      </c>
      <c r="CL210" s="6">
        <f t="shared" si="26"/>
        <v>1</v>
      </c>
      <c r="CM210" s="6">
        <f t="shared" si="13"/>
        <v>1</v>
      </c>
      <c r="CN210" s="6">
        <f t="shared" si="14"/>
        <v>1</v>
      </c>
      <c r="CO210" s="6">
        <f t="shared" si="15"/>
        <v>1</v>
      </c>
      <c r="CP210" s="6">
        <f t="shared" si="16"/>
        <v>1</v>
      </c>
      <c r="CQ210" s="6">
        <f t="shared" si="313"/>
        <v>1</v>
      </c>
      <c r="CR210" s="81" t="str">
        <f t="shared" si="17"/>
        <v/>
      </c>
      <c r="CS210">
        <f t="shared" si="314"/>
        <v>0</v>
      </c>
      <c r="CT210">
        <f t="shared" si="19"/>
        <v>49</v>
      </c>
      <c r="CU210" t="str">
        <f t="shared" si="29"/>
        <v/>
      </c>
      <c r="CV210" s="81">
        <f t="shared" si="315"/>
        <v>49</v>
      </c>
      <c r="CW210" s="81">
        <f>(CV210/25)^1.5*(Calculator!$BU$4/10000)*CW$5</f>
        <v>7.0852988639999941</v>
      </c>
      <c r="CX210" t="str">
        <f t="shared" si="316"/>
        <v>$49</v>
      </c>
    </row>
    <row r="211" spans="2:102" x14ac:dyDescent="0.25">
      <c r="B211" s="115" t="s">
        <v>233</v>
      </c>
      <c r="C211" s="13">
        <v>46210.654861111114</v>
      </c>
      <c r="D211">
        <v>33670</v>
      </c>
      <c r="E211" s="54" t="s">
        <v>235</v>
      </c>
      <c r="F211" s="54" t="s">
        <v>624</v>
      </c>
      <c r="G211" s="54" t="s">
        <v>1728</v>
      </c>
      <c r="H211" s="55">
        <v>16.900000000000002</v>
      </c>
      <c r="I211" s="55">
        <v>16.900000000000002</v>
      </c>
      <c r="J211" s="55">
        <v>16.900000000000002</v>
      </c>
      <c r="K211" s="54"/>
      <c r="L211" s="56" t="b">
        <v>1</v>
      </c>
      <c r="M211" s="56" t="b">
        <v>0</v>
      </c>
      <c r="N211" s="54">
        <v>0</v>
      </c>
      <c r="O211" s="54" t="s">
        <v>238</v>
      </c>
      <c r="P211" s="54">
        <v>26</v>
      </c>
      <c r="Q211" s="54">
        <v>1</v>
      </c>
      <c r="R211" s="54">
        <v>50</v>
      </c>
      <c r="S211" s="54" t="s">
        <v>625</v>
      </c>
      <c r="T211" s="54" t="s">
        <v>626</v>
      </c>
      <c r="U211" s="54" t="s">
        <v>627</v>
      </c>
      <c r="V211" s="54" t="s">
        <v>628</v>
      </c>
      <c r="W211" s="54" t="b">
        <v>1</v>
      </c>
      <c r="X211" s="54"/>
      <c r="Y211" s="57" t="s">
        <v>1729</v>
      </c>
      <c r="Z211" s="54" t="s">
        <v>629</v>
      </c>
      <c r="AA211" s="54" t="s">
        <v>630</v>
      </c>
      <c r="AB211" s="54" t="s">
        <v>631</v>
      </c>
      <c r="AC211" s="56" t="b">
        <v>1</v>
      </c>
      <c r="AD211" s="56" t="b">
        <v>0</v>
      </c>
      <c r="AE211" s="54"/>
      <c r="AF211" s="58"/>
      <c r="AG211" s="62" t="s">
        <v>293</v>
      </c>
      <c r="AH211" s="54"/>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c r="BF211" s="35">
        <f t="shared" ref="BF211:BG212" si="317">IF($E211=$E$4,BF$4,IF($E211=$E$5,BF$5,""))</f>
        <v>4.9000000000000004</v>
      </c>
      <c r="BG211" s="35">
        <f t="shared" si="317"/>
        <v>5.1461E-2</v>
      </c>
      <c r="BH211" s="35" t="str">
        <f t="shared" ref="BH211:BH212" si="318">IF(ISTEXT(BE211),IF(AND(AV211=0,SUM(AN211:AQ211)=0),IF(AM211&lt;=0,IF(BE211="Y","Low","Flat"),"Med"),"High"),"?")</f>
        <v>?</v>
      </c>
      <c r="BI211" s="110" t="str">
        <f t="shared" ref="BI211:BI212" si="319">IF(ISNUMBER(AH211),0*BI$5*SIN((EDATE($A$3,$Q211)-DATE(YEAR(EDATE($A$3,$Q211)),1,0)-BI$4)*2*PI()/365),"")</f>
        <v/>
      </c>
      <c r="BJ211" s="83" t="e">
        <f>VLOOKUP($F211,REP_Info!$D$6:$H$250,5,FALSE)</f>
        <v>#N/A</v>
      </c>
      <c r="BK211" s="30" t="e">
        <f t="shared" ref="BK211:BN212" si="320">IF(BK$7&gt;0,(LOOKUP(BK$7,$AH211:$AL211,$AM211:$AQ211)+IF($AG211="Y",SUMPRODUCT($AX211:$BB211-$AW211:$BA211,BK$7-$AR211:$AV211,N(BK$7&gt;$AR211:$AV211)),BK$7*LOOKUP(BK$7,$AR211:$AV211,$AX211:$BB211))+IF($BE211="Y",$BF211,$BC211)+BK$7*IF($BE211="Y",$BG211,$BD211))*100/BK$7,"")</f>
        <v>#N/A</v>
      </c>
      <c r="BL211" s="30" t="e">
        <f t="shared" si="320"/>
        <v>#N/A</v>
      </c>
      <c r="BM211" s="30" t="e">
        <f t="shared" si="320"/>
        <v>#N/A</v>
      </c>
      <c r="BN211" s="29" t="e">
        <f t="shared" si="320"/>
        <v>#N/A</v>
      </c>
      <c r="BO211" s="85" t="str">
        <f t="shared" si="2"/>
        <v>$$$</v>
      </c>
      <c r="BP211" s="88" t="str">
        <f t="shared" ref="BP211:BP212" si="321">IFERROR(BO211*100/BO$5,"$$$")</f>
        <v>$$$</v>
      </c>
      <c r="BQ211" s="88" t="str">
        <f t="shared" si="4"/>
        <v>$$$</v>
      </c>
      <c r="BR211" s="88" t="str">
        <f t="shared" si="5"/>
        <v>$$$</v>
      </c>
      <c r="BS211" s="29" t="e">
        <f t="shared" ref="BS211:CD212" si="322">IF($CI211,IF(BS$7&gt;0,IF(BS$4&gt;$Q211,$BF211+BS$7*(BS$5+$BG211+$BI211),LOOKUP(BS$7,$AH211:$AL211,$AM211:$AQ211)+IF($AG211="Y",SUMPRODUCT($AX211:$BB211-$AW211:$BA211,BS$7-$AR211:$AV211,N(BS$7&gt;$AR211:$AV211)),BS$7*LOOKUP(BS$7,$AR211:$AV211,$AX211:$BB211))+IF($BE211="Y",$BF211,$BC211)+BS$7*IF($BE211="Y",$BG211,$BD211))*100/BS$7,""),NA())</f>
        <v>#N/A</v>
      </c>
      <c r="BT211" s="29" t="e">
        <f t="shared" si="322"/>
        <v>#N/A</v>
      </c>
      <c r="BU211" s="29" t="e">
        <f t="shared" si="322"/>
        <v>#N/A</v>
      </c>
      <c r="BV211" s="29" t="e">
        <f t="shared" si="322"/>
        <v>#N/A</v>
      </c>
      <c r="BW211" s="29" t="e">
        <f t="shared" si="322"/>
        <v>#N/A</v>
      </c>
      <c r="BX211" s="29" t="e">
        <f t="shared" si="322"/>
        <v>#N/A</v>
      </c>
      <c r="BY211" s="29" t="e">
        <f t="shared" si="322"/>
        <v>#N/A</v>
      </c>
      <c r="BZ211" s="29" t="e">
        <f t="shared" si="322"/>
        <v>#N/A</v>
      </c>
      <c r="CA211" s="29" t="e">
        <f t="shared" si="322"/>
        <v>#N/A</v>
      </c>
      <c r="CB211" s="29" t="e">
        <f t="shared" si="322"/>
        <v>#N/A</v>
      </c>
      <c r="CC211" s="29" t="e">
        <f t="shared" si="322"/>
        <v>#N/A</v>
      </c>
      <c r="CD211" s="29" t="e">
        <f t="shared" si="322"/>
        <v>#N/A</v>
      </c>
      <c r="CE211" s="6" t="str">
        <f t="shared" si="197"/>
        <v/>
      </c>
      <c r="CF211" s="27" t="e">
        <f>IF(AND(CI211,NOT(AD211)),LOOKUP(CF$5,{0,750,1500},H211:J211),"")</f>
        <v>#N/A</v>
      </c>
      <c r="CG211" s="6" t="str">
        <f t="shared" si="198"/>
        <v/>
      </c>
      <c r="CH211" t="e">
        <f t="shared" ref="CH211:CH212" si="323">IF(CI211,IF(ISNUMBER(BO211),BO211,100000)+CV211/10000+IF(ISNUMBER(BJ211),BJ211,2)/10000-P211/100000+ROW()/10000000,"")</f>
        <v>#N/A</v>
      </c>
      <c r="CI211" t="e">
        <f t="shared" ref="CI211:CI212" si="324">PRODUCT(CJ211:CQ211)</f>
        <v>#N/A</v>
      </c>
      <c r="CJ211" s="6" t="e">
        <f t="shared" si="11"/>
        <v>#N/A</v>
      </c>
      <c r="CK211" s="6">
        <f t="shared" si="12"/>
        <v>1</v>
      </c>
      <c r="CL211" s="6">
        <f t="shared" si="26"/>
        <v>1</v>
      </c>
      <c r="CM211" s="6">
        <f t="shared" si="13"/>
        <v>0</v>
      </c>
      <c r="CN211" s="6">
        <f t="shared" si="14"/>
        <v>0</v>
      </c>
      <c r="CO211" s="6">
        <f t="shared" si="15"/>
        <v>1</v>
      </c>
      <c r="CP211" s="6">
        <f t="shared" si="16"/>
        <v>1</v>
      </c>
      <c r="CQ211" s="6">
        <f t="shared" ref="CQ211:CQ212" si="325">IF(CQ$5="Any",1,IF(AND(CQ$5="Med",AV211=0,SUM(AN211:AQ211)=0),1,IF(AND(CQ$5="Low",AV211=0,SUM(AN211:AQ211)=0,AM211=0),1,IF(AND(CQ$5="Flat",AV211=0,SUM(AN211:AQ211)=0,AM211=0,IFERROR(NOT(BE211="Y"),0)),1,0))))</f>
        <v>1</v>
      </c>
      <c r="CR211" s="81" t="str">
        <f t="shared" si="17"/>
        <v/>
      </c>
      <c r="CS211">
        <f t="shared" ref="CS211:CS212" si="326">CS$5*(12/(MIN(12,Q211))-1)</f>
        <v>198</v>
      </c>
      <c r="CT211">
        <f t="shared" si="19"/>
        <v>50</v>
      </c>
      <c r="CU211" t="str">
        <f t="shared" si="29"/>
        <v/>
      </c>
      <c r="CV211" s="81">
        <f t="shared" ref="CV211:CV212" si="327">CT211*IF(CU211="",1,Q211)</f>
        <v>50</v>
      </c>
      <c r="CW211" s="81">
        <f>(CV211/25)^1.5*(Calculator!$BU$4/10000)*CW$5</f>
        <v>7.3032986493698795</v>
      </c>
      <c r="CX211" t="str">
        <f t="shared" ref="CX211:CX212" si="328">"$"&amp;IF(LEFT(CU211,1)="r",CT211&amp;"/"&amp;CU211,CV211)</f>
        <v>$50</v>
      </c>
    </row>
    <row r="212" spans="2:102" x14ac:dyDescent="0.25">
      <c r="B212" s="115" t="s">
        <v>233</v>
      </c>
      <c r="C212" s="13">
        <v>46210.654861111114</v>
      </c>
      <c r="D212">
        <v>33671</v>
      </c>
      <c r="E212" s="54" t="s">
        <v>237</v>
      </c>
      <c r="F212" s="54" t="s">
        <v>624</v>
      </c>
      <c r="G212" s="54" t="s">
        <v>1728</v>
      </c>
      <c r="H212" s="55">
        <v>17.899999999999999</v>
      </c>
      <c r="I212" s="55">
        <v>17.899999999999999</v>
      </c>
      <c r="J212" s="55">
        <v>17.899999999999999</v>
      </c>
      <c r="K212" s="54"/>
      <c r="L212" s="56" t="b">
        <v>1</v>
      </c>
      <c r="M212" s="56" t="b">
        <v>0</v>
      </c>
      <c r="N212" s="54">
        <v>0</v>
      </c>
      <c r="O212" s="54" t="s">
        <v>238</v>
      </c>
      <c r="P212" s="54">
        <v>26</v>
      </c>
      <c r="Q212" s="54">
        <v>1</v>
      </c>
      <c r="R212" s="54">
        <v>50</v>
      </c>
      <c r="S212" s="54" t="s">
        <v>625</v>
      </c>
      <c r="T212" s="54" t="s">
        <v>626</v>
      </c>
      <c r="U212" s="54" t="s">
        <v>627</v>
      </c>
      <c r="V212" s="54" t="s">
        <v>628</v>
      </c>
      <c r="W212" s="54" t="b">
        <v>0</v>
      </c>
      <c r="X212" s="54"/>
      <c r="Y212" s="57" t="s">
        <v>1730</v>
      </c>
      <c r="Z212" s="54" t="s">
        <v>629</v>
      </c>
      <c r="AA212" s="54" t="s">
        <v>630</v>
      </c>
      <c r="AB212" s="54" t="s">
        <v>631</v>
      </c>
      <c r="AC212" s="56" t="b">
        <v>1</v>
      </c>
      <c r="AD212" s="56" t="b">
        <v>0</v>
      </c>
      <c r="AE212" s="54"/>
      <c r="AF212" s="58"/>
      <c r="AG212" s="62" t="s">
        <v>293</v>
      </c>
      <c r="AH212" s="54"/>
      <c r="AI212" s="54"/>
      <c r="AJ212" s="54"/>
      <c r="AK212" s="54"/>
      <c r="AL212" s="54"/>
      <c r="AM212" s="54">
        <v>0</v>
      </c>
      <c r="AN212" s="54"/>
      <c r="AO212" s="54"/>
      <c r="AP212" s="54"/>
      <c r="AQ212" s="54"/>
      <c r="AR212" s="54"/>
      <c r="AS212" s="54"/>
      <c r="AT212" s="54"/>
      <c r="AU212" s="54"/>
      <c r="AV212" s="54"/>
      <c r="AW212" s="54"/>
      <c r="AX212" s="59"/>
      <c r="AY212" s="59"/>
      <c r="AZ212" s="59"/>
      <c r="BA212" s="59"/>
      <c r="BB212" s="59"/>
      <c r="BC212" s="60"/>
      <c r="BD212" s="61"/>
      <c r="BE212" s="62"/>
      <c r="BF212" s="35">
        <f t="shared" si="317"/>
        <v>4.0600000000000005</v>
      </c>
      <c r="BG212" s="35">
        <f t="shared" si="317"/>
        <v>6.0295000000000001E-2</v>
      </c>
      <c r="BH212" s="35" t="str">
        <f t="shared" si="318"/>
        <v>?</v>
      </c>
      <c r="BI212" s="110" t="str">
        <f t="shared" si="319"/>
        <v/>
      </c>
      <c r="BJ212" s="83" t="e">
        <f>VLOOKUP($F212,REP_Info!$D$6:$H$250,5,FALSE)</f>
        <v>#N/A</v>
      </c>
      <c r="BK212" s="30" t="e">
        <f t="shared" si="320"/>
        <v>#N/A</v>
      </c>
      <c r="BL212" s="30" t="e">
        <f t="shared" si="320"/>
        <v>#N/A</v>
      </c>
      <c r="BM212" s="30" t="e">
        <f t="shared" si="320"/>
        <v>#N/A</v>
      </c>
      <c r="BN212" s="29" t="e">
        <f t="shared" si="320"/>
        <v>#N/A</v>
      </c>
      <c r="BO212" s="85" t="str">
        <f t="shared" si="2"/>
        <v>$$$</v>
      </c>
      <c r="BP212" s="88" t="str">
        <f t="shared" si="321"/>
        <v>$$$</v>
      </c>
      <c r="BQ212" s="88" t="str">
        <f t="shared" si="4"/>
        <v>$$$</v>
      </c>
      <c r="BR212" s="88" t="str">
        <f t="shared" si="5"/>
        <v>$$$</v>
      </c>
      <c r="BS212" s="29" t="e">
        <f t="shared" si="322"/>
        <v>#N/A</v>
      </c>
      <c r="BT212" s="29" t="e">
        <f t="shared" si="322"/>
        <v>#N/A</v>
      </c>
      <c r="BU212" s="29" t="e">
        <f t="shared" si="322"/>
        <v>#N/A</v>
      </c>
      <c r="BV212" s="29" t="e">
        <f t="shared" si="322"/>
        <v>#N/A</v>
      </c>
      <c r="BW212" s="29" t="e">
        <f t="shared" si="322"/>
        <v>#N/A</v>
      </c>
      <c r="BX212" s="29" t="e">
        <f t="shared" si="322"/>
        <v>#N/A</v>
      </c>
      <c r="BY212" s="29" t="e">
        <f t="shared" si="322"/>
        <v>#N/A</v>
      </c>
      <c r="BZ212" s="29" t="e">
        <f t="shared" si="322"/>
        <v>#N/A</v>
      </c>
      <c r="CA212" s="29" t="e">
        <f t="shared" si="322"/>
        <v>#N/A</v>
      </c>
      <c r="CB212" s="29" t="e">
        <f t="shared" si="322"/>
        <v>#N/A</v>
      </c>
      <c r="CC212" s="29" t="e">
        <f t="shared" si="322"/>
        <v>#N/A</v>
      </c>
      <c r="CD212" s="29" t="e">
        <f t="shared" si="322"/>
        <v>#N/A</v>
      </c>
      <c r="CE212" s="6" t="str">
        <f t="shared" si="197"/>
        <v/>
      </c>
      <c r="CF212" s="27" t="e">
        <f>IF(AND(CI212,NOT(AD212)),LOOKUP(CF$5,{0,750,1500},H212:J212),"")</f>
        <v>#N/A</v>
      </c>
      <c r="CG212" s="6" t="str">
        <f t="shared" si="198"/>
        <v/>
      </c>
      <c r="CH212" t="e">
        <f t="shared" si="323"/>
        <v>#N/A</v>
      </c>
      <c r="CI212" t="e">
        <f t="shared" si="324"/>
        <v>#N/A</v>
      </c>
      <c r="CJ212" s="6" t="e">
        <f t="shared" si="11"/>
        <v>#N/A</v>
      </c>
      <c r="CK212" s="6">
        <f t="shared" si="12"/>
        <v>1</v>
      </c>
      <c r="CL212" s="6">
        <f t="shared" si="26"/>
        <v>1</v>
      </c>
      <c r="CM212" s="6">
        <f t="shared" si="13"/>
        <v>0</v>
      </c>
      <c r="CN212" s="6">
        <f t="shared" si="14"/>
        <v>0</v>
      </c>
      <c r="CO212" s="6">
        <f t="shared" si="15"/>
        <v>1</v>
      </c>
      <c r="CP212" s="6">
        <f t="shared" si="16"/>
        <v>1</v>
      </c>
      <c r="CQ212" s="6">
        <f t="shared" si="325"/>
        <v>1</v>
      </c>
      <c r="CR212" s="81" t="str">
        <f t="shared" si="17"/>
        <v/>
      </c>
      <c r="CS212">
        <f t="shared" si="326"/>
        <v>198</v>
      </c>
      <c r="CT212">
        <f t="shared" si="19"/>
        <v>50</v>
      </c>
      <c r="CU212" t="str">
        <f t="shared" si="29"/>
        <v/>
      </c>
      <c r="CV212" s="81">
        <f t="shared" si="327"/>
        <v>50</v>
      </c>
      <c r="CW212" s="81">
        <f>(CV212/25)^1.5*(Calculator!$BU$4/10000)*CW$5</f>
        <v>7.3032986493698795</v>
      </c>
      <c r="CX212" t="str">
        <f t="shared" si="328"/>
        <v>$50</v>
      </c>
    </row>
    <row r="213" spans="2:102" x14ac:dyDescent="0.25">
      <c r="B213" s="115" t="s">
        <v>233</v>
      </c>
      <c r="C213" s="13">
        <v>46210.654861111114</v>
      </c>
      <c r="D213">
        <v>36326</v>
      </c>
      <c r="E213" s="54" t="s">
        <v>235</v>
      </c>
      <c r="F213" s="54" t="s">
        <v>624</v>
      </c>
      <c r="G213" s="54" t="s">
        <v>1619</v>
      </c>
      <c r="H213" s="55">
        <v>16.2</v>
      </c>
      <c r="I213" s="55">
        <v>14.499999999999998</v>
      </c>
      <c r="J213" s="55">
        <v>13.700000000000001</v>
      </c>
      <c r="K213" s="54"/>
      <c r="L213" s="56" t="b">
        <v>1</v>
      </c>
      <c r="M213" s="56" t="b">
        <v>0</v>
      </c>
      <c r="N213" s="54">
        <v>1</v>
      </c>
      <c r="O213" s="54" t="s">
        <v>228</v>
      </c>
      <c r="P213" s="54">
        <v>26</v>
      </c>
      <c r="Q213" s="54">
        <v>3</v>
      </c>
      <c r="R213" s="54">
        <v>50</v>
      </c>
      <c r="S213" s="54" t="s">
        <v>625</v>
      </c>
      <c r="T213" s="54" t="s">
        <v>1620</v>
      </c>
      <c r="U213" s="54" t="s">
        <v>1621</v>
      </c>
      <c r="V213" s="54" t="s">
        <v>1622</v>
      </c>
      <c r="W213" s="54" t="b">
        <v>1</v>
      </c>
      <c r="X213" s="54"/>
      <c r="Y213" s="57" t="s">
        <v>1623</v>
      </c>
      <c r="Z213" s="54" t="s">
        <v>1624</v>
      </c>
      <c r="AA213" s="54" t="s">
        <v>1625</v>
      </c>
      <c r="AB213" s="54" t="s">
        <v>631</v>
      </c>
      <c r="AC213" s="56" t="b">
        <v>1</v>
      </c>
      <c r="AD213" s="56" t="b">
        <v>0</v>
      </c>
      <c r="AE213" s="54" t="s">
        <v>303</v>
      </c>
      <c r="AF213" s="58">
        <v>46184</v>
      </c>
      <c r="AG213" s="62" t="s">
        <v>293</v>
      </c>
      <c r="AH213" s="54">
        <v>0</v>
      </c>
      <c r="AI213" s="54"/>
      <c r="AJ213" s="54"/>
      <c r="AK213" s="54"/>
      <c r="AL213" s="54"/>
      <c r="AM213" s="54">
        <v>11.869975000000002</v>
      </c>
      <c r="AN213" s="54"/>
      <c r="AO213" s="54"/>
      <c r="AP213" s="54"/>
      <c r="AQ213" s="54"/>
      <c r="AR213" s="54"/>
      <c r="AS213" s="54"/>
      <c r="AT213" s="54"/>
      <c r="AU213" s="54"/>
      <c r="AV213" s="54"/>
      <c r="AW213" s="54"/>
      <c r="AX213" s="59"/>
      <c r="AY213" s="59"/>
      <c r="AZ213" s="59"/>
      <c r="BA213" s="59"/>
      <c r="BB213" s="59">
        <v>7.6938999999999994E-2</v>
      </c>
      <c r="BC213" s="60">
        <v>4.9000000000000004</v>
      </c>
      <c r="BD213" s="61">
        <v>5.1461E-2</v>
      </c>
      <c r="BE213" s="62" t="s">
        <v>293</v>
      </c>
      <c r="BF213" s="35">
        <f t="shared" ref="BF213:BG213" si="329">IF($E213=$E$4,BF$4,IF($E213=$E$5,BF$5,""))</f>
        <v>4.9000000000000004</v>
      </c>
      <c r="BG213" s="35">
        <f t="shared" si="329"/>
        <v>5.1461E-2</v>
      </c>
      <c r="BH213" s="35" t="str">
        <f t="shared" ref="BH213" si="330">IF(ISTEXT(BE213),IF(AND(AV213=0,SUM(AN213:AQ213)=0),IF(AM213&lt;=0,IF(BE213="Y","Low","Flat"),"Med"),"High"),"?")</f>
        <v>Med</v>
      </c>
      <c r="BI213" s="110">
        <f t="shared" ref="BI213" si="331">IF(ISNUMBER(AH213),0*BI$5*SIN((EDATE($A$3,$Q213)-DATE(YEAR(EDATE($A$3,$Q213)),1,0)-BI$4)*2*PI()/365),"")</f>
        <v>0</v>
      </c>
      <c r="BJ213" s="83" t="e">
        <f>VLOOKUP($F213,REP_Info!$D$6:$H$250,5,FALSE)</f>
        <v>#N/A</v>
      </c>
      <c r="BK213" s="30">
        <f t="shared" ref="BK213:BN213" si="332">IF(BK$7&gt;0,(LOOKUP(BK$7,$AH213:$AL213,$AM213:$AQ213)+IF($AG213="Y",SUMPRODUCT($AX213:$BB213-$AW213:$BA213,BK$7-$AR213:$AV213,N(BK$7&gt;$AR213:$AV213)),BK$7*LOOKUP(BK$7,$AR213:$AV213,$AX213:$BB213))+IF($BE213="Y",$BF213,$BC213)+BK$7*IF($BE213="Y",$BG213,$BD213))*100/BK$7,"")</f>
        <v>16.193995000000001</v>
      </c>
      <c r="BL213" s="30">
        <f t="shared" si="332"/>
        <v>14.516997499999999</v>
      </c>
      <c r="BM213" s="30">
        <f t="shared" si="332"/>
        <v>13.678498750000001</v>
      </c>
      <c r="BN213" s="29">
        <f t="shared" si="332"/>
        <v>13.398999166666666</v>
      </c>
      <c r="BO213" s="85" t="str">
        <f t="shared" ref="BO213" si="333">IFERROR(SUMPRODUCT($BS$7:$CD$7,$BS213:$CD213)/100,"$$$")</f>
        <v>$$$</v>
      </c>
      <c r="BP213" s="88" t="str">
        <f t="shared" ref="BP213" si="334">IFERROR(BO213*100/BO$5,"$$$")</f>
        <v>$$$</v>
      </c>
      <c r="BQ213" s="88" t="str">
        <f t="shared" ref="BQ213" si="335">IFERROR(SUMPRODUCT($BS$7:$CD$7,$BS213:$CD213,--($BS$4:$CD$4&lt;=$Q213))/SUMPRODUCT(--($BS$4:$CD$4&lt;=$Q213),$BS$7:$CD$7),"$$$")</f>
        <v>$$$</v>
      </c>
      <c r="BR213" s="88" t="str">
        <f t="shared" ref="BR213" si="336">IFERROR($BQ213-$BF213*100*SUMPRODUCT(--($BS$4:$CD$4&lt;=$Q213))/SUMPRODUCT(--($BS$4:$CD$4&lt;=$Q213),$BS$7:$CD$7)-$BG213*100,"$$$")</f>
        <v>$$$</v>
      </c>
      <c r="BS213" s="29" t="e">
        <f t="shared" ref="BS213:CD213" si="337">IF($CI213,IF(BS$7&gt;0,IF(BS$4&gt;$Q213,$BF213+BS$7*(BS$5+$BG213+$BI213),LOOKUP(BS$7,$AH213:$AL213,$AM213:$AQ213)+IF($AG213="Y",SUMPRODUCT($AX213:$BB213-$AW213:$BA213,BS$7-$AR213:$AV213,N(BS$7&gt;$AR213:$AV213)),BS$7*LOOKUP(BS$7,$AR213:$AV213,$AX213:$BB213))+IF($BE213="Y",$BF213,$BC213)+BS$7*IF($BE213="Y",$BG213,$BD213))*100/BS$7,""),NA())</f>
        <v>#N/A</v>
      </c>
      <c r="BT213" s="29" t="e">
        <f t="shared" si="337"/>
        <v>#N/A</v>
      </c>
      <c r="BU213" s="29" t="e">
        <f t="shared" si="337"/>
        <v>#N/A</v>
      </c>
      <c r="BV213" s="29" t="e">
        <f t="shared" si="337"/>
        <v>#N/A</v>
      </c>
      <c r="BW213" s="29" t="e">
        <f t="shared" si="337"/>
        <v>#N/A</v>
      </c>
      <c r="BX213" s="29" t="e">
        <f t="shared" si="337"/>
        <v>#N/A</v>
      </c>
      <c r="BY213" s="29" t="e">
        <f t="shared" si="337"/>
        <v>#N/A</v>
      </c>
      <c r="BZ213" s="29" t="e">
        <f t="shared" si="337"/>
        <v>#N/A</v>
      </c>
      <c r="CA213" s="29" t="e">
        <f t="shared" si="337"/>
        <v>#N/A</v>
      </c>
      <c r="CB213" s="29" t="e">
        <f t="shared" si="337"/>
        <v>#N/A</v>
      </c>
      <c r="CC213" s="29" t="e">
        <f t="shared" si="337"/>
        <v>#N/A</v>
      </c>
      <c r="CD213" s="29" t="e">
        <f t="shared" si="337"/>
        <v>#N/A</v>
      </c>
      <c r="CE213" s="6" t="str">
        <f t="shared" si="197"/>
        <v/>
      </c>
      <c r="CF213" s="27" t="e">
        <f>IF(AND(CI213,NOT(AD213)),LOOKUP(CF$5,{0,750,1500},H213:J213),"")</f>
        <v>#N/A</v>
      </c>
      <c r="CG213" s="6" t="str">
        <f t="shared" si="198"/>
        <v/>
      </c>
      <c r="CH213" t="e">
        <f t="shared" ref="CH213" si="338">IF(CI213,IF(ISNUMBER(BO213),BO213,100000)+CV213/10000+IF(ISNUMBER(BJ213),BJ213,2)/10000-P213/100000+ROW()/10000000,"")</f>
        <v>#N/A</v>
      </c>
      <c r="CI213" t="e">
        <f t="shared" ref="CI213" si="339">PRODUCT(CJ213:CQ213)</f>
        <v>#N/A</v>
      </c>
      <c r="CJ213" s="6" t="e">
        <f t="shared" ref="CJ213" si="340">IF($E213=CJ$5,1,0)</f>
        <v>#N/A</v>
      </c>
      <c r="CK213" s="6">
        <f t="shared" ref="CK213" si="341">IF(CK$5="[Any]",1,IF($F213=CK$5,1,0))</f>
        <v>1</v>
      </c>
      <c r="CL213" s="6">
        <f t="shared" si="26"/>
        <v>1</v>
      </c>
      <c r="CM213" s="6">
        <f t="shared" ref="CM213" si="342">IF($O213="Fixed",1,0)</f>
        <v>1</v>
      </c>
      <c r="CN213" s="6">
        <f t="shared" ref="CN213" si="343">IF($Q213&gt;=CN$5,1,0)</f>
        <v>0</v>
      </c>
      <c r="CO213" s="6">
        <f t="shared" ref="CO213" si="344">IF($Q213&lt;=CO$5,1,0)</f>
        <v>1</v>
      </c>
      <c r="CP213" s="6">
        <f t="shared" ref="CP213" si="345">IF($P213&gt;=CP$5,1,0)</f>
        <v>1</v>
      </c>
      <c r="CQ213" s="6">
        <f t="shared" ref="CQ213" si="346">IF(CQ$5="Any",1,IF(AND(CQ$5="Med",AV213=0,SUM(AN213:AQ213)=0),1,IF(AND(CQ$5="Low",AV213=0,SUM(AN213:AQ213)=0,AM213=0),1,IF(AND(CQ$5="Flat",AV213=0,SUM(AN213:AQ213)=0,AM213=0,IFERROR(NOT(BE213="Y"),0)),1,0))))</f>
        <v>1</v>
      </c>
      <c r="CR213" s="81" t="str">
        <f t="shared" ref="CR213" si="347">IF(ISNUMBER($CH213),$CH213+$CS213+$CW213,"")</f>
        <v/>
      </c>
      <c r="CS213">
        <f t="shared" ref="CS213" si="348">CS$5*(12/(MIN(12,Q213))-1)</f>
        <v>54</v>
      </c>
      <c r="CT213">
        <f t="shared" si="19"/>
        <v>50</v>
      </c>
      <c r="CU213" t="str">
        <f t="shared" si="29"/>
        <v/>
      </c>
      <c r="CV213" s="81">
        <f t="shared" ref="CV213" si="349">CT213*IF(CU213="",1,Q213)</f>
        <v>50</v>
      </c>
      <c r="CW213" s="81">
        <f>(CV213/25)^1.5*(Calculator!$BU$4/10000)*CW$5</f>
        <v>7.3032986493698795</v>
      </c>
      <c r="CX213" t="str">
        <f t="shared" ref="CX213" si="350">"$"&amp;IF(LEFT(CU213,1)="r",CT213&amp;"/"&amp;CU213,CV213)</f>
        <v>$50</v>
      </c>
    </row>
    <row r="214" spans="2:102" x14ac:dyDescent="0.25">
      <c r="B214" s="115" t="s">
        <v>233</v>
      </c>
      <c r="C214" s="13">
        <v>46210.654861111114</v>
      </c>
      <c r="D214">
        <v>36329</v>
      </c>
      <c r="E214" s="54" t="s">
        <v>237</v>
      </c>
      <c r="F214" s="54" t="s">
        <v>624</v>
      </c>
      <c r="G214" s="54" t="s">
        <v>1619</v>
      </c>
      <c r="H214" s="55">
        <v>15.5</v>
      </c>
      <c r="I214" s="55">
        <v>13.900000000000002</v>
      </c>
      <c r="J214" s="55">
        <v>13.700000000000001</v>
      </c>
      <c r="K214" s="54"/>
      <c r="L214" s="56" t="b">
        <v>1</v>
      </c>
      <c r="M214" s="56" t="b">
        <v>0</v>
      </c>
      <c r="N214" s="54">
        <v>1</v>
      </c>
      <c r="O214" s="54" t="s">
        <v>228</v>
      </c>
      <c r="P214" s="54">
        <v>26</v>
      </c>
      <c r="Q214" s="54">
        <v>3</v>
      </c>
      <c r="R214" s="54">
        <v>50</v>
      </c>
      <c r="S214" s="54" t="s">
        <v>625</v>
      </c>
      <c r="T214" s="54"/>
      <c r="U214" s="54" t="s">
        <v>1621</v>
      </c>
      <c r="V214" s="54" t="s">
        <v>1626</v>
      </c>
      <c r="W214" s="54" t="b">
        <v>1</v>
      </c>
      <c r="X214" s="54"/>
      <c r="Y214" s="57" t="s">
        <v>1627</v>
      </c>
      <c r="Z214" s="54" t="s">
        <v>1624</v>
      </c>
      <c r="AA214" s="54" t="s">
        <v>1625</v>
      </c>
      <c r="AB214" s="54" t="s">
        <v>631</v>
      </c>
      <c r="AC214" s="56" t="b">
        <v>1</v>
      </c>
      <c r="AD214" s="56" t="b">
        <v>0</v>
      </c>
      <c r="AE214" s="54" t="s">
        <v>303</v>
      </c>
      <c r="AF214" s="58">
        <v>46184</v>
      </c>
      <c r="AG214" s="62" t="s">
        <v>293</v>
      </c>
      <c r="AH214" s="54">
        <v>0</v>
      </c>
      <c r="AI214" s="54"/>
      <c r="AJ214" s="54"/>
      <c r="AK214" s="54"/>
      <c r="AL214" s="54"/>
      <c r="AM214" s="54">
        <v>11.869975000000002</v>
      </c>
      <c r="AN214" s="54"/>
      <c r="AO214" s="54"/>
      <c r="AP214" s="54"/>
      <c r="AQ214" s="54"/>
      <c r="AR214" s="54"/>
      <c r="AS214" s="54"/>
      <c r="AT214" s="54"/>
      <c r="AU214" s="54"/>
      <c r="AV214" s="54"/>
      <c r="AW214" s="54"/>
      <c r="AX214" s="59"/>
      <c r="AY214" s="59"/>
      <c r="AZ214" s="59"/>
      <c r="BA214" s="59"/>
      <c r="BB214" s="59">
        <v>6.2044000000000002E-2</v>
      </c>
      <c r="BC214" s="60">
        <v>4.0599999999999996</v>
      </c>
      <c r="BD214" s="61">
        <v>6.1196E-2</v>
      </c>
      <c r="BE214" s="62" t="s">
        <v>293</v>
      </c>
      <c r="BF214" s="35">
        <f t="shared" ref="BF214:BG214" si="351">IF($E214=$E$4,BF$4,IF($E214=$E$5,BF$5,""))</f>
        <v>4.0600000000000005</v>
      </c>
      <c r="BG214" s="35">
        <f t="shared" si="351"/>
        <v>6.0295000000000001E-2</v>
      </c>
      <c r="BH214" s="35" t="str">
        <f t="shared" ref="BH214" si="352">IF(ISTEXT(BE214),IF(AND(AV214=0,SUM(AN214:AQ214)=0),IF(AM214&lt;=0,IF(BE214="Y","Low","Flat"),"Med"),"High"),"?")</f>
        <v>Med</v>
      </c>
      <c r="BI214" s="110">
        <f t="shared" ref="BI214" si="353">IF(ISNUMBER(AH214),0*BI$5*SIN((EDATE($A$3,$Q214)-DATE(YEAR(EDATE($A$3,$Q214)),1,0)-BI$4)*2*PI()/365),"")</f>
        <v>0</v>
      </c>
      <c r="BJ214" s="83" t="e">
        <f>VLOOKUP($F214,REP_Info!$D$6:$H$250,5,FALSE)</f>
        <v>#N/A</v>
      </c>
      <c r="BK214" s="30">
        <f t="shared" ref="BK214:BN214" si="354">IF(BK$7&gt;0,(LOOKUP(BK$7,$AH214:$AL214,$AM214:$AQ214)+IF($AG214="Y",SUMPRODUCT($AX214:$BB214-$AW214:$BA214,BK$7-$AR214:$AV214,N(BK$7&gt;$AR214:$AV214)),BK$7*LOOKUP(BK$7,$AR214:$AV214,$AX214:$BB214))+IF($BE214="Y",$BF214,$BC214)+BK$7*IF($BE214="Y",$BG214,$BD214))*100/BK$7,"")</f>
        <v>15.419895000000002</v>
      </c>
      <c r="BL214" s="30">
        <f t="shared" si="354"/>
        <v>13.826897500000001</v>
      </c>
      <c r="BM214" s="30">
        <f t="shared" si="354"/>
        <v>13.03039875</v>
      </c>
      <c r="BN214" s="29">
        <f t="shared" si="354"/>
        <v>12.764899166666668</v>
      </c>
      <c r="BO214" s="85" t="str">
        <f t="shared" si="2"/>
        <v>$$$</v>
      </c>
      <c r="BP214" s="88" t="str">
        <f t="shared" ref="BP214" si="355">IFERROR(BO214*100/BO$5,"$$$")</f>
        <v>$$$</v>
      </c>
      <c r="BQ214" s="88" t="str">
        <f t="shared" si="4"/>
        <v>$$$</v>
      </c>
      <c r="BR214" s="88" t="str">
        <f t="shared" si="5"/>
        <v>$$$</v>
      </c>
      <c r="BS214" s="29" t="e">
        <f t="shared" ref="BS214:CD214" si="356">IF($CI214,IF(BS$7&gt;0,IF(BS$4&gt;$Q214,$BF214+BS$7*(BS$5+$BG214+$BI214),LOOKUP(BS$7,$AH214:$AL214,$AM214:$AQ214)+IF($AG214="Y",SUMPRODUCT($AX214:$BB214-$AW214:$BA214,BS$7-$AR214:$AV214,N(BS$7&gt;$AR214:$AV214)),BS$7*LOOKUP(BS$7,$AR214:$AV214,$AX214:$BB214))+IF($BE214="Y",$BF214,$BC214)+BS$7*IF($BE214="Y",$BG214,$BD214))*100/BS$7,""),NA())</f>
        <v>#N/A</v>
      </c>
      <c r="BT214" s="29" t="e">
        <f t="shared" si="356"/>
        <v>#N/A</v>
      </c>
      <c r="BU214" s="29" t="e">
        <f t="shared" si="356"/>
        <v>#N/A</v>
      </c>
      <c r="BV214" s="29" t="e">
        <f t="shared" si="356"/>
        <v>#N/A</v>
      </c>
      <c r="BW214" s="29" t="e">
        <f t="shared" si="356"/>
        <v>#N/A</v>
      </c>
      <c r="BX214" s="29" t="e">
        <f t="shared" si="356"/>
        <v>#N/A</v>
      </c>
      <c r="BY214" s="29" t="e">
        <f t="shared" si="356"/>
        <v>#N/A</v>
      </c>
      <c r="BZ214" s="29" t="e">
        <f t="shared" si="356"/>
        <v>#N/A</v>
      </c>
      <c r="CA214" s="29" t="e">
        <f t="shared" si="356"/>
        <v>#N/A</v>
      </c>
      <c r="CB214" s="29" t="e">
        <f t="shared" si="356"/>
        <v>#N/A</v>
      </c>
      <c r="CC214" s="29" t="e">
        <f t="shared" si="356"/>
        <v>#N/A</v>
      </c>
      <c r="CD214" s="29" t="e">
        <f t="shared" si="356"/>
        <v>#N/A</v>
      </c>
      <c r="CE214" s="6" t="str">
        <f t="shared" si="197"/>
        <v/>
      </c>
      <c r="CF214" s="27" t="e">
        <f>IF(AND(CI214,NOT(AD214)),LOOKUP(CF$5,{0,750,1500},H214:J214),"")</f>
        <v>#N/A</v>
      </c>
      <c r="CG214" s="6" t="str">
        <f t="shared" si="198"/>
        <v/>
      </c>
      <c r="CH214" t="e">
        <f t="shared" ref="CH214" si="357">IF(CI214,IF(ISNUMBER(BO214),BO214,100000)+CV214/10000+IF(ISNUMBER(BJ214),BJ214,2)/10000-P214/100000+ROW()/10000000,"")</f>
        <v>#N/A</v>
      </c>
      <c r="CI214" t="e">
        <f t="shared" ref="CI214" si="358">PRODUCT(CJ214:CQ214)</f>
        <v>#N/A</v>
      </c>
      <c r="CJ214" s="6" t="e">
        <f t="shared" si="11"/>
        <v>#N/A</v>
      </c>
      <c r="CK214" s="6">
        <f t="shared" si="12"/>
        <v>1</v>
      </c>
      <c r="CL214" s="6">
        <f t="shared" si="26"/>
        <v>1</v>
      </c>
      <c r="CM214" s="6">
        <f t="shared" si="13"/>
        <v>1</v>
      </c>
      <c r="CN214" s="6">
        <f t="shared" si="14"/>
        <v>0</v>
      </c>
      <c r="CO214" s="6">
        <f t="shared" si="15"/>
        <v>1</v>
      </c>
      <c r="CP214" s="6">
        <f t="shared" si="16"/>
        <v>1</v>
      </c>
      <c r="CQ214" s="6">
        <f t="shared" ref="CQ214" si="359">IF(CQ$5="Any",1,IF(AND(CQ$5="Med",AV214=0,SUM(AN214:AQ214)=0),1,IF(AND(CQ$5="Low",AV214=0,SUM(AN214:AQ214)=0,AM214=0),1,IF(AND(CQ$5="Flat",AV214=0,SUM(AN214:AQ214)=0,AM214=0,IFERROR(NOT(BE214="Y"),0)),1,0))))</f>
        <v>1</v>
      </c>
      <c r="CR214" s="81" t="str">
        <f t="shared" si="17"/>
        <v/>
      </c>
      <c r="CS214">
        <f t="shared" ref="CS214" si="360">CS$5*(12/(MIN(12,Q214))-1)</f>
        <v>54</v>
      </c>
      <c r="CT214">
        <f t="shared" si="19"/>
        <v>50</v>
      </c>
      <c r="CU214" t="str">
        <f t="shared" si="29"/>
        <v/>
      </c>
      <c r="CV214" s="81">
        <f t="shared" ref="CV214" si="361">CT214*IF(CU214="",1,Q214)</f>
        <v>50</v>
      </c>
      <c r="CW214" s="81">
        <f>(CV214/25)^1.5*(Calculator!$BU$4/10000)*CW$5</f>
        <v>7.3032986493698795</v>
      </c>
      <c r="CX214" t="str">
        <f t="shared" ref="CX214" si="362">"$"&amp;IF(LEFT(CU214,1)="r",CT214&amp;"/"&amp;CU214,CV214)</f>
        <v>$50</v>
      </c>
    </row>
    <row r="215" spans="2:102" x14ac:dyDescent="0.25">
      <c r="B215" s="115" t="s">
        <v>233</v>
      </c>
      <c r="C215" s="13">
        <v>46218.518055555556</v>
      </c>
      <c r="D215">
        <v>36760</v>
      </c>
      <c r="E215" s="54" t="s">
        <v>235</v>
      </c>
      <c r="F215" s="54" t="s">
        <v>624</v>
      </c>
      <c r="G215" s="54" t="s">
        <v>1904</v>
      </c>
      <c r="H215" s="55">
        <v>19.2</v>
      </c>
      <c r="I215" s="55">
        <v>18.899999999999999</v>
      </c>
      <c r="J215" s="55">
        <v>18.7</v>
      </c>
      <c r="K215" s="54"/>
      <c r="L215" s="56" t="b">
        <v>1</v>
      </c>
      <c r="M215" s="56" t="b">
        <v>0</v>
      </c>
      <c r="N215" s="54">
        <v>0</v>
      </c>
      <c r="O215" s="54" t="s">
        <v>238</v>
      </c>
      <c r="P215" s="54">
        <v>25</v>
      </c>
      <c r="Q215" s="54">
        <v>1</v>
      </c>
      <c r="R215" s="54">
        <v>25</v>
      </c>
      <c r="S215" s="54" t="s">
        <v>625</v>
      </c>
      <c r="T215" s="54"/>
      <c r="U215" s="54" t="s">
        <v>1621</v>
      </c>
      <c r="V215" s="54" t="s">
        <v>1622</v>
      </c>
      <c r="W215" s="54" t="b">
        <v>0</v>
      </c>
      <c r="X215" s="54"/>
      <c r="Y215" s="57" t="s">
        <v>1905</v>
      </c>
      <c r="Z215" s="54" t="s">
        <v>1906</v>
      </c>
      <c r="AA215" s="54" t="s">
        <v>1625</v>
      </c>
      <c r="AB215" s="54" t="s">
        <v>631</v>
      </c>
      <c r="AC215" s="56" t="b">
        <v>1</v>
      </c>
      <c r="AD215" s="56" t="b">
        <v>0</v>
      </c>
      <c r="AE215" s="54"/>
      <c r="AF215" s="58"/>
      <c r="AG215" s="62" t="s">
        <v>293</v>
      </c>
      <c r="AH215" s="54"/>
      <c r="AI215" s="54"/>
      <c r="AJ215" s="54"/>
      <c r="AK215" s="54"/>
      <c r="AL215" s="54"/>
      <c r="AM215" s="54">
        <v>0</v>
      </c>
      <c r="AN215" s="54"/>
      <c r="AO215" s="54"/>
      <c r="AP215" s="54"/>
      <c r="AQ215" s="54"/>
      <c r="AR215" s="54"/>
      <c r="AS215" s="54"/>
      <c r="AT215" s="54"/>
      <c r="AU215" s="54"/>
      <c r="AV215" s="54"/>
      <c r="AW215" s="54"/>
      <c r="AX215" s="59"/>
      <c r="AY215" s="59"/>
      <c r="AZ215" s="59"/>
      <c r="BA215" s="59"/>
      <c r="BB215" s="59"/>
      <c r="BC215" s="60"/>
      <c r="BD215" s="61"/>
      <c r="BE215" s="62"/>
      <c r="BF215" s="35">
        <f t="shared" ref="BF215:BG216" si="363">IF($E215=$E$4,BF$4,IF($E215=$E$5,BF$5,""))</f>
        <v>4.9000000000000004</v>
      </c>
      <c r="BG215" s="35">
        <f t="shared" si="363"/>
        <v>5.1461E-2</v>
      </c>
      <c r="BH215" s="35" t="str">
        <f t="shared" ref="BH215:BH216" si="364">IF(ISTEXT(BE215),IF(AND(AV215=0,SUM(AN215:AQ215)=0),IF(AM215&lt;=0,IF(BE215="Y","Low","Flat"),"Med"),"High"),"?")</f>
        <v>?</v>
      </c>
      <c r="BI215" s="110" t="str">
        <f t="shared" ref="BI215:BI216" si="365">IF(ISNUMBER(AH215),0*BI$5*SIN((EDATE($A$3,$Q215)-DATE(YEAR(EDATE($A$3,$Q215)),1,0)-BI$4)*2*PI()/365),"")</f>
        <v/>
      </c>
      <c r="BJ215" s="83" t="e">
        <f>VLOOKUP($F215,REP_Info!$D$6:$H$250,5,FALSE)</f>
        <v>#N/A</v>
      </c>
      <c r="BK215" s="30" t="e">
        <f t="shared" ref="BK215:BN216" si="366">IF(BK$7&gt;0,(LOOKUP(BK$7,$AH215:$AL215,$AM215:$AQ215)+IF($AG215="Y",SUMPRODUCT($AX215:$BB215-$AW215:$BA215,BK$7-$AR215:$AV215,N(BK$7&gt;$AR215:$AV215)),BK$7*LOOKUP(BK$7,$AR215:$AV215,$AX215:$BB215))+IF($BE215="Y",$BF215,$BC215)+BK$7*IF($BE215="Y",$BG215,$BD215))*100/BK$7,"")</f>
        <v>#N/A</v>
      </c>
      <c r="BL215" s="30" t="e">
        <f t="shared" si="366"/>
        <v>#N/A</v>
      </c>
      <c r="BM215" s="30" t="e">
        <f t="shared" si="366"/>
        <v>#N/A</v>
      </c>
      <c r="BN215" s="29" t="e">
        <f t="shared" si="366"/>
        <v>#N/A</v>
      </c>
      <c r="BO215" s="85" t="str">
        <f t="shared" si="2"/>
        <v>$$$</v>
      </c>
      <c r="BP215" s="88" t="str">
        <f t="shared" ref="BP215:BP216" si="367">IFERROR(BO215*100/BO$5,"$$$")</f>
        <v>$$$</v>
      </c>
      <c r="BQ215" s="88" t="str">
        <f t="shared" si="4"/>
        <v>$$$</v>
      </c>
      <c r="BR215" s="88" t="str">
        <f t="shared" si="5"/>
        <v>$$$</v>
      </c>
      <c r="BS215" s="29" t="e">
        <f t="shared" ref="BS215:CD216" si="368">IF($CI215,IF(BS$7&gt;0,IF(BS$4&gt;$Q215,$BF215+BS$7*(BS$5+$BG215+$BI215),LOOKUP(BS$7,$AH215:$AL215,$AM215:$AQ215)+IF($AG215="Y",SUMPRODUCT($AX215:$BB215-$AW215:$BA215,BS$7-$AR215:$AV215,N(BS$7&gt;$AR215:$AV215)),BS$7*LOOKUP(BS$7,$AR215:$AV215,$AX215:$BB215))+IF($BE215="Y",$BF215,$BC215)+BS$7*IF($BE215="Y",$BG215,$BD215))*100/BS$7,""),NA())</f>
        <v>#N/A</v>
      </c>
      <c r="BT215" s="29" t="e">
        <f t="shared" si="368"/>
        <v>#N/A</v>
      </c>
      <c r="BU215" s="29" t="e">
        <f t="shared" si="368"/>
        <v>#N/A</v>
      </c>
      <c r="BV215" s="29" t="e">
        <f t="shared" si="368"/>
        <v>#N/A</v>
      </c>
      <c r="BW215" s="29" t="e">
        <f t="shared" si="368"/>
        <v>#N/A</v>
      </c>
      <c r="BX215" s="29" t="e">
        <f t="shared" si="368"/>
        <v>#N/A</v>
      </c>
      <c r="BY215" s="29" t="e">
        <f t="shared" si="368"/>
        <v>#N/A</v>
      </c>
      <c r="BZ215" s="29" t="e">
        <f t="shared" si="368"/>
        <v>#N/A</v>
      </c>
      <c r="CA215" s="29" t="e">
        <f t="shared" si="368"/>
        <v>#N/A</v>
      </c>
      <c r="CB215" s="29" t="e">
        <f t="shared" si="368"/>
        <v>#N/A</v>
      </c>
      <c r="CC215" s="29" t="e">
        <f t="shared" si="368"/>
        <v>#N/A</v>
      </c>
      <c r="CD215" s="29" t="e">
        <f t="shared" si="368"/>
        <v>#N/A</v>
      </c>
      <c r="CE215" s="6" t="str">
        <f t="shared" si="197"/>
        <v/>
      </c>
      <c r="CF215" s="27" t="e">
        <f>IF(AND(CI215,NOT(AD215)),LOOKUP(CF$5,{0,750,1500},H215:J215),"")</f>
        <v>#N/A</v>
      </c>
      <c r="CG215" s="6" t="str">
        <f t="shared" si="198"/>
        <v/>
      </c>
      <c r="CH215" t="e">
        <f t="shared" ref="CH215:CH216" si="369">IF(CI215,IF(ISNUMBER(BO215),BO215,100000)+CV215/10000+IF(ISNUMBER(BJ215),BJ215,2)/10000-P215/100000+ROW()/10000000,"")</f>
        <v>#N/A</v>
      </c>
      <c r="CI215" t="e">
        <f t="shared" ref="CI215:CI216" si="370">PRODUCT(CJ215:CQ215)</f>
        <v>#N/A</v>
      </c>
      <c r="CJ215" s="6" t="e">
        <f t="shared" si="11"/>
        <v>#N/A</v>
      </c>
      <c r="CK215" s="6">
        <f t="shared" si="12"/>
        <v>1</v>
      </c>
      <c r="CL215" s="6">
        <f t="shared" si="26"/>
        <v>1</v>
      </c>
      <c r="CM215" s="6">
        <f t="shared" si="13"/>
        <v>0</v>
      </c>
      <c r="CN215" s="6">
        <f t="shared" si="14"/>
        <v>0</v>
      </c>
      <c r="CO215" s="6">
        <f t="shared" si="15"/>
        <v>1</v>
      </c>
      <c r="CP215" s="6">
        <f t="shared" si="16"/>
        <v>1</v>
      </c>
      <c r="CQ215" s="6">
        <f t="shared" ref="CQ215:CQ216" si="371">IF(CQ$5="Any",1,IF(AND(CQ$5="Med",AV215=0,SUM(AN215:AQ215)=0),1,IF(AND(CQ$5="Low",AV215=0,SUM(AN215:AQ215)=0,AM215=0),1,IF(AND(CQ$5="Flat",AV215=0,SUM(AN215:AQ215)=0,AM215=0,IFERROR(NOT(BE215="Y"),0)),1,0))))</f>
        <v>1</v>
      </c>
      <c r="CR215" s="81" t="str">
        <f t="shared" si="17"/>
        <v/>
      </c>
      <c r="CS215">
        <f t="shared" ref="CS215:CS216" si="372">CS$5*(12/(MIN(12,Q215))-1)</f>
        <v>198</v>
      </c>
      <c r="CT215">
        <f t="shared" si="19"/>
        <v>25</v>
      </c>
      <c r="CU215" t="str">
        <f t="shared" si="29"/>
        <v/>
      </c>
      <c r="CV215" s="81">
        <f t="shared" ref="CV215:CV216" si="373">CT215*IF(CU215="",1,Q215)</f>
        <v>25</v>
      </c>
      <c r="CW215" s="81">
        <f>(CV215/25)^1.5*(Calculator!$BU$4/10000)*CW$5</f>
        <v>2.5821059999999978</v>
      </c>
      <c r="CX215" t="str">
        <f t="shared" ref="CX215:CX216" si="374">"$"&amp;IF(LEFT(CU215,1)="r",CT215&amp;"/"&amp;CU215,CV215)</f>
        <v>$25</v>
      </c>
    </row>
    <row r="216" spans="2:102" x14ac:dyDescent="0.25">
      <c r="B216" s="115" t="s">
        <v>233</v>
      </c>
      <c r="C216" s="13">
        <v>46204.601388888892</v>
      </c>
      <c r="D216">
        <v>29230</v>
      </c>
      <c r="E216" s="54" t="s">
        <v>237</v>
      </c>
      <c r="F216" s="54" t="s">
        <v>632</v>
      </c>
      <c r="G216" s="54" t="s">
        <v>1775</v>
      </c>
      <c r="H216" s="55">
        <v>16.3</v>
      </c>
      <c r="I216" s="55">
        <v>15.299999999999999</v>
      </c>
      <c r="J216" s="55">
        <v>14.899999999999999</v>
      </c>
      <c r="K216" s="54"/>
      <c r="L216" s="56" t="b">
        <v>0</v>
      </c>
      <c r="M216" s="56" t="b">
        <v>0</v>
      </c>
      <c r="N216" s="54">
        <v>1</v>
      </c>
      <c r="O216" s="54" t="s">
        <v>228</v>
      </c>
      <c r="P216" s="54">
        <v>6</v>
      </c>
      <c r="Q216" s="54">
        <v>48</v>
      </c>
      <c r="R216" s="54">
        <v>0</v>
      </c>
      <c r="S216" s="54" t="s">
        <v>1682</v>
      </c>
      <c r="T216" s="54" t="s">
        <v>1683</v>
      </c>
      <c r="U216" s="54" t="s">
        <v>1676</v>
      </c>
      <c r="V216" s="54" t="s">
        <v>1684</v>
      </c>
      <c r="W216" s="54" t="b">
        <v>0</v>
      </c>
      <c r="X216" s="54"/>
      <c r="Y216" s="57" t="s">
        <v>1776</v>
      </c>
      <c r="Z216" s="54" t="s">
        <v>1685</v>
      </c>
      <c r="AA216" s="54"/>
      <c r="AB216" s="54" t="s">
        <v>1686</v>
      </c>
      <c r="AC216" s="56" t="b">
        <v>0</v>
      </c>
      <c r="AD216" s="56" t="b">
        <v>0</v>
      </c>
      <c r="AE216" s="54" t="s">
        <v>303</v>
      </c>
      <c r="AF216" s="58">
        <v>46203</v>
      </c>
      <c r="AG216" s="62" t="s">
        <v>293</v>
      </c>
      <c r="AH216" s="54">
        <v>0</v>
      </c>
      <c r="AI216" s="54"/>
      <c r="AJ216" s="54"/>
      <c r="AK216" s="54"/>
      <c r="AL216" s="54"/>
      <c r="AM216" s="54">
        <v>4.95</v>
      </c>
      <c r="AN216" s="54"/>
      <c r="AO216" s="54"/>
      <c r="AP216" s="54"/>
      <c r="AQ216" s="54"/>
      <c r="AR216" s="54"/>
      <c r="AS216" s="54"/>
      <c r="AT216" s="54"/>
      <c r="AU216" s="54"/>
      <c r="AV216" s="54"/>
      <c r="AW216" s="54"/>
      <c r="AX216" s="59"/>
      <c r="AY216" s="59"/>
      <c r="AZ216" s="59"/>
      <c r="BA216" s="59"/>
      <c r="BB216" s="59">
        <v>8.3289000000000002E-2</v>
      </c>
      <c r="BC216" s="60"/>
      <c r="BD216" s="61"/>
      <c r="BE216" s="62" t="s">
        <v>293</v>
      </c>
      <c r="BF216" s="35">
        <f t="shared" si="363"/>
        <v>4.0600000000000005</v>
      </c>
      <c r="BG216" s="35">
        <f t="shared" si="363"/>
        <v>6.0295000000000001E-2</v>
      </c>
      <c r="BH216" s="35" t="str">
        <f t="shared" si="364"/>
        <v>Med</v>
      </c>
      <c r="BI216" s="110">
        <f t="shared" si="365"/>
        <v>0</v>
      </c>
      <c r="BJ216" s="83">
        <f>VLOOKUP($F216,REP_Info!$D$6:$H$250,5,FALSE)</f>
        <v>1.694</v>
      </c>
      <c r="BK216" s="30">
        <f t="shared" si="366"/>
        <v>16.160400000000003</v>
      </c>
      <c r="BL216" s="30">
        <f t="shared" si="366"/>
        <v>15.259399999999999</v>
      </c>
      <c r="BM216" s="30">
        <f t="shared" si="366"/>
        <v>14.8089</v>
      </c>
      <c r="BN216" s="29">
        <f t="shared" si="366"/>
        <v>14.658733333333332</v>
      </c>
      <c r="BO216" s="85" t="str">
        <f t="shared" si="2"/>
        <v>$$$</v>
      </c>
      <c r="BP216" s="88" t="str">
        <f t="shared" si="367"/>
        <v>$$$</v>
      </c>
      <c r="BQ216" s="88" t="str">
        <f t="shared" si="4"/>
        <v>$$$</v>
      </c>
      <c r="BR216" s="88" t="str">
        <f t="shared" si="5"/>
        <v>$$$</v>
      </c>
      <c r="BS216" s="29" t="e">
        <f t="shared" si="368"/>
        <v>#N/A</v>
      </c>
      <c r="BT216" s="29" t="e">
        <f t="shared" si="368"/>
        <v>#N/A</v>
      </c>
      <c r="BU216" s="29" t="e">
        <f t="shared" si="368"/>
        <v>#N/A</v>
      </c>
      <c r="BV216" s="29" t="e">
        <f t="shared" si="368"/>
        <v>#N/A</v>
      </c>
      <c r="BW216" s="29" t="e">
        <f t="shared" si="368"/>
        <v>#N/A</v>
      </c>
      <c r="BX216" s="29" t="e">
        <f t="shared" si="368"/>
        <v>#N/A</v>
      </c>
      <c r="BY216" s="29" t="e">
        <f t="shared" si="368"/>
        <v>#N/A</v>
      </c>
      <c r="BZ216" s="29" t="e">
        <f t="shared" si="368"/>
        <v>#N/A</v>
      </c>
      <c r="CA216" s="29" t="e">
        <f t="shared" si="368"/>
        <v>#N/A</v>
      </c>
      <c r="CB216" s="29" t="e">
        <f t="shared" si="368"/>
        <v>#N/A</v>
      </c>
      <c r="CC216" s="29" t="e">
        <f t="shared" si="368"/>
        <v>#N/A</v>
      </c>
      <c r="CD216" s="29" t="e">
        <f t="shared" si="368"/>
        <v>#N/A</v>
      </c>
      <c r="CE216" s="6" t="str">
        <f t="shared" si="197"/>
        <v/>
      </c>
      <c r="CF216" s="27" t="e">
        <f>IF(AND(CI216,NOT(AD216)),LOOKUP(CF$5,{0,750,1500},H216:J216),"")</f>
        <v>#N/A</v>
      </c>
      <c r="CG216" s="6" t="str">
        <f t="shared" si="198"/>
        <v/>
      </c>
      <c r="CH216" t="e">
        <f t="shared" si="369"/>
        <v>#N/A</v>
      </c>
      <c r="CI216" t="e">
        <f t="shared" si="370"/>
        <v>#N/A</v>
      </c>
      <c r="CJ216" s="6" t="e">
        <f t="shared" si="11"/>
        <v>#N/A</v>
      </c>
      <c r="CK216" s="6">
        <f t="shared" si="12"/>
        <v>1</v>
      </c>
      <c r="CL216" s="6">
        <f t="shared" si="26"/>
        <v>1</v>
      </c>
      <c r="CM216" s="6">
        <f t="shared" si="13"/>
        <v>1</v>
      </c>
      <c r="CN216" s="6">
        <f t="shared" si="14"/>
        <v>1</v>
      </c>
      <c r="CO216" s="6">
        <f t="shared" si="15"/>
        <v>0</v>
      </c>
      <c r="CP216" s="6">
        <f t="shared" si="16"/>
        <v>1</v>
      </c>
      <c r="CQ216" s="6">
        <f t="shared" si="371"/>
        <v>1</v>
      </c>
      <c r="CR216" s="81" t="str">
        <f t="shared" si="17"/>
        <v/>
      </c>
      <c r="CS216">
        <f t="shared" si="372"/>
        <v>0</v>
      </c>
      <c r="CT216">
        <f t="shared" si="19"/>
        <v>0</v>
      </c>
      <c r="CU216" t="str">
        <f t="shared" si="29"/>
        <v/>
      </c>
      <c r="CV216" s="81">
        <f t="shared" si="373"/>
        <v>0</v>
      </c>
      <c r="CW216" s="81">
        <f>(CV216/25)^1.5*(Calculator!$BU$4/10000)*CW$5</f>
        <v>0</v>
      </c>
      <c r="CX216" t="str">
        <f t="shared" si="374"/>
        <v>$0</v>
      </c>
    </row>
    <row r="217" spans="2:102" x14ac:dyDescent="0.25">
      <c r="B217" s="115" t="s">
        <v>233</v>
      </c>
      <c r="C217" s="13">
        <v>46220.690972222219</v>
      </c>
      <c r="D217">
        <v>29255</v>
      </c>
      <c r="E217" s="54" t="s">
        <v>235</v>
      </c>
      <c r="F217" s="54" t="s">
        <v>632</v>
      </c>
      <c r="G217" s="54" t="s">
        <v>1775</v>
      </c>
      <c r="H217" s="55">
        <v>16.400000000000002</v>
      </c>
      <c r="I217" s="55">
        <v>15.4</v>
      </c>
      <c r="J217" s="55">
        <v>14.899999999999999</v>
      </c>
      <c r="K217" s="54"/>
      <c r="L217" s="56" t="b">
        <v>0</v>
      </c>
      <c r="M217" s="56" t="b">
        <v>0</v>
      </c>
      <c r="N217" s="54">
        <v>1</v>
      </c>
      <c r="O217" s="54" t="s">
        <v>228</v>
      </c>
      <c r="P217" s="54">
        <v>6</v>
      </c>
      <c r="Q217" s="54">
        <v>48</v>
      </c>
      <c r="R217" s="54">
        <v>0</v>
      </c>
      <c r="S217" s="54" t="s">
        <v>1682</v>
      </c>
      <c r="T217" s="54" t="s">
        <v>1683</v>
      </c>
      <c r="U217" s="54" t="s">
        <v>1676</v>
      </c>
      <c r="V217" s="54" t="s">
        <v>1684</v>
      </c>
      <c r="W217" s="54" t="b">
        <v>0</v>
      </c>
      <c r="X217" s="54"/>
      <c r="Y217" s="57" t="s">
        <v>1961</v>
      </c>
      <c r="Z217" s="54" t="s">
        <v>1685</v>
      </c>
      <c r="AA217" s="54"/>
      <c r="AB217" s="54" t="s">
        <v>1686</v>
      </c>
      <c r="AC217" s="56" t="b">
        <v>0</v>
      </c>
      <c r="AD217" s="56" t="b">
        <v>0</v>
      </c>
      <c r="AE217" s="54" t="s">
        <v>303</v>
      </c>
      <c r="AF217" s="58">
        <v>46219</v>
      </c>
      <c r="AG217" s="62" t="s">
        <v>293</v>
      </c>
      <c r="AH217" s="54">
        <v>0</v>
      </c>
      <c r="AI217" s="54"/>
      <c r="AJ217" s="54"/>
      <c r="AK217" s="54"/>
      <c r="AL217" s="54"/>
      <c r="AM217" s="54">
        <v>4.95</v>
      </c>
      <c r="AN217" s="54"/>
      <c r="AO217" s="54"/>
      <c r="AP217" s="54"/>
      <c r="AQ217" s="54"/>
      <c r="AR217" s="54"/>
      <c r="AS217" s="54"/>
      <c r="AT217" s="54"/>
      <c r="AU217" s="54"/>
      <c r="AV217" s="54"/>
      <c r="AW217" s="54"/>
      <c r="AX217" s="59"/>
      <c r="AY217" s="59"/>
      <c r="AZ217" s="59"/>
      <c r="BA217" s="59"/>
      <c r="BB217" s="59">
        <v>9.3108999999999997E-2</v>
      </c>
      <c r="BC217" s="60"/>
      <c r="BD217" s="61"/>
      <c r="BE217" s="62" t="s">
        <v>293</v>
      </c>
      <c r="BF217" s="35">
        <f t="shared" ref="BF217:BG217" si="375">IF($E217=$E$4,BF$4,IF($E217=$E$5,BF$5,""))</f>
        <v>4.9000000000000004</v>
      </c>
      <c r="BG217" s="35">
        <f t="shared" si="375"/>
        <v>5.1461E-2</v>
      </c>
      <c r="BH217" s="35" t="str">
        <f t="shared" ref="BH217" si="376">IF(ISTEXT(BE217),IF(AND(AV217=0,SUM(AN217:AQ217)=0),IF(AM217&lt;=0,IF(BE217="Y","Low","Flat"),"Med"),"High"),"?")</f>
        <v>Med</v>
      </c>
      <c r="BI217" s="110">
        <f t="shared" ref="BI217" si="377">IF(ISNUMBER(AH217),0*BI$5*SIN((EDATE($A$3,$Q217)-DATE(YEAR(EDATE($A$3,$Q217)),1,0)-BI$4)*2*PI()/365),"")</f>
        <v>0</v>
      </c>
      <c r="BJ217" s="83">
        <f>VLOOKUP($F217,REP_Info!$D$6:$H$250,5,FALSE)</f>
        <v>1.694</v>
      </c>
      <c r="BK217" s="30">
        <f t="shared" ref="BK217:BN217" si="378">IF(BK$7&gt;0,(LOOKUP(BK$7,$AH217:$AL217,$AM217:$AQ217)+IF($AG217="Y",SUMPRODUCT($AX217:$BB217-$AW217:$BA217,BK$7-$AR217:$AV217,N(BK$7&gt;$AR217:$AV217)),BK$7*LOOKUP(BK$7,$AR217:$AV217,$AX217:$BB217))+IF($BE217="Y",$BF217,$BC217)+BK$7*IF($BE217="Y",$BG217,$BD217))*100/BK$7,"")</f>
        <v>16.427</v>
      </c>
      <c r="BL217" s="30">
        <f t="shared" si="378"/>
        <v>15.442000000000002</v>
      </c>
      <c r="BM217" s="30">
        <f t="shared" si="378"/>
        <v>14.9495</v>
      </c>
      <c r="BN217" s="29">
        <f t="shared" si="378"/>
        <v>14.78533333333333</v>
      </c>
      <c r="BO217" s="85" t="str">
        <f t="shared" si="2"/>
        <v>$$$</v>
      </c>
      <c r="BP217" s="88" t="str">
        <f t="shared" ref="BP217" si="379">IFERROR(BO217*100/BO$5,"$$$")</f>
        <v>$$$</v>
      </c>
      <c r="BQ217" s="88" t="str">
        <f t="shared" si="4"/>
        <v>$$$</v>
      </c>
      <c r="BR217" s="88" t="str">
        <f t="shared" si="5"/>
        <v>$$$</v>
      </c>
      <c r="BS217" s="29" t="e">
        <f t="shared" ref="BS217:CD217" si="380">IF($CI217,IF(BS$7&gt;0,IF(BS$4&gt;$Q217,$BF217+BS$7*(BS$5+$BG217+$BI217),LOOKUP(BS$7,$AH217:$AL217,$AM217:$AQ217)+IF($AG217="Y",SUMPRODUCT($AX217:$BB217-$AW217:$BA217,BS$7-$AR217:$AV217,N(BS$7&gt;$AR217:$AV217)),BS$7*LOOKUP(BS$7,$AR217:$AV217,$AX217:$BB217))+IF($BE217="Y",$BF217,$BC217)+BS$7*IF($BE217="Y",$BG217,$BD217))*100/BS$7,""),NA())</f>
        <v>#N/A</v>
      </c>
      <c r="BT217" s="29" t="e">
        <f t="shared" si="380"/>
        <v>#N/A</v>
      </c>
      <c r="BU217" s="29" t="e">
        <f t="shared" si="380"/>
        <v>#N/A</v>
      </c>
      <c r="BV217" s="29" t="e">
        <f t="shared" si="380"/>
        <v>#N/A</v>
      </c>
      <c r="BW217" s="29" t="e">
        <f t="shared" si="380"/>
        <v>#N/A</v>
      </c>
      <c r="BX217" s="29" t="e">
        <f t="shared" si="380"/>
        <v>#N/A</v>
      </c>
      <c r="BY217" s="29" t="e">
        <f t="shared" si="380"/>
        <v>#N/A</v>
      </c>
      <c r="BZ217" s="29" t="e">
        <f t="shared" si="380"/>
        <v>#N/A</v>
      </c>
      <c r="CA217" s="29" t="e">
        <f t="shared" si="380"/>
        <v>#N/A</v>
      </c>
      <c r="CB217" s="29" t="e">
        <f t="shared" si="380"/>
        <v>#N/A</v>
      </c>
      <c r="CC217" s="29" t="e">
        <f t="shared" si="380"/>
        <v>#N/A</v>
      </c>
      <c r="CD217" s="29" t="e">
        <f t="shared" si="380"/>
        <v>#N/A</v>
      </c>
      <c r="CE217" s="6" t="str">
        <f t="shared" si="197"/>
        <v/>
      </c>
      <c r="CF217" s="27" t="e">
        <f>IF(AND(CI217,NOT(AD217)),LOOKUP(CF$5,{0,750,1500},H217:J217),"")</f>
        <v>#N/A</v>
      </c>
      <c r="CG217" s="6" t="str">
        <f t="shared" si="198"/>
        <v/>
      </c>
      <c r="CH217" t="e">
        <f t="shared" ref="CH217" si="381">IF(CI217,IF(ISNUMBER(BO217),BO217,100000)+CV217/10000+IF(ISNUMBER(BJ217),BJ217,2)/10000-P217/100000+ROW()/10000000,"")</f>
        <v>#N/A</v>
      </c>
      <c r="CI217" t="e">
        <f t="shared" ref="CI217" si="382">PRODUCT(CJ217:CQ217)</f>
        <v>#N/A</v>
      </c>
      <c r="CJ217" s="6" t="e">
        <f t="shared" si="11"/>
        <v>#N/A</v>
      </c>
      <c r="CK217" s="6">
        <f t="shared" si="12"/>
        <v>1</v>
      </c>
      <c r="CL217" s="6">
        <f t="shared" si="26"/>
        <v>1</v>
      </c>
      <c r="CM217" s="6">
        <f t="shared" si="13"/>
        <v>1</v>
      </c>
      <c r="CN217" s="6">
        <f t="shared" si="14"/>
        <v>1</v>
      </c>
      <c r="CO217" s="6">
        <f t="shared" si="15"/>
        <v>0</v>
      </c>
      <c r="CP217" s="6">
        <f t="shared" si="16"/>
        <v>1</v>
      </c>
      <c r="CQ217" s="6">
        <f t="shared" ref="CQ217" si="383">IF(CQ$5="Any",1,IF(AND(CQ$5="Med",AV217=0,SUM(AN217:AQ217)=0),1,IF(AND(CQ$5="Low",AV217=0,SUM(AN217:AQ217)=0,AM217=0),1,IF(AND(CQ$5="Flat",AV217=0,SUM(AN217:AQ217)=0,AM217=0,IFERROR(NOT(BE217="Y"),0)),1,0))))</f>
        <v>1</v>
      </c>
      <c r="CR217" s="81" t="str">
        <f t="shared" si="17"/>
        <v/>
      </c>
      <c r="CS217">
        <f t="shared" ref="CS217" si="384">CS$5*(12/(MIN(12,Q217))-1)</f>
        <v>0</v>
      </c>
      <c r="CT217">
        <f t="shared" si="19"/>
        <v>0</v>
      </c>
      <c r="CU217" t="str">
        <f t="shared" si="29"/>
        <v/>
      </c>
      <c r="CV217" s="81">
        <f t="shared" ref="CV217" si="385">CT217*IF(CU217="",1,Q217)</f>
        <v>0</v>
      </c>
      <c r="CW217" s="81">
        <f>(CV217/25)^1.5*(Calculator!$BU$4/10000)*CW$5</f>
        <v>0</v>
      </c>
      <c r="CX217" t="str">
        <f t="shared" ref="CX217" si="386">"$"&amp;IF(LEFT(CU217,1)="r",CT217&amp;"/"&amp;CU217,CV217)</f>
        <v>$0</v>
      </c>
    </row>
    <row r="218" spans="2:102" x14ac:dyDescent="0.25">
      <c r="B218" s="115" t="s">
        <v>233</v>
      </c>
      <c r="C218" s="13">
        <v>46230.89166666667</v>
      </c>
      <c r="D218">
        <v>29265</v>
      </c>
      <c r="E218" s="54" t="s">
        <v>237</v>
      </c>
      <c r="F218" s="54" t="s">
        <v>632</v>
      </c>
      <c r="G218" s="54" t="s">
        <v>2005</v>
      </c>
      <c r="H218" s="55">
        <v>13</v>
      </c>
      <c r="I218" s="55">
        <v>12</v>
      </c>
      <c r="J218" s="55">
        <v>11.600000000000001</v>
      </c>
      <c r="K218" s="54"/>
      <c r="L218" s="56" t="b">
        <v>0</v>
      </c>
      <c r="M218" s="56" t="b">
        <v>0</v>
      </c>
      <c r="N218" s="54">
        <v>1</v>
      </c>
      <c r="O218" s="54" t="s">
        <v>228</v>
      </c>
      <c r="P218" s="54">
        <v>6</v>
      </c>
      <c r="Q218" s="54">
        <v>10</v>
      </c>
      <c r="R218" s="54">
        <v>179</v>
      </c>
      <c r="S218" s="54" t="s">
        <v>1687</v>
      </c>
      <c r="T218" s="54"/>
      <c r="U218" s="54" t="s">
        <v>1676</v>
      </c>
      <c r="V218" s="54" t="s">
        <v>1684</v>
      </c>
      <c r="W218" s="54" t="b">
        <v>0</v>
      </c>
      <c r="X218" s="54"/>
      <c r="Y218" s="57" t="s">
        <v>2006</v>
      </c>
      <c r="Z218" s="54" t="s">
        <v>1685</v>
      </c>
      <c r="AA218" s="54"/>
      <c r="AB218" s="54" t="s">
        <v>1686</v>
      </c>
      <c r="AC218" s="56" t="b">
        <v>0</v>
      </c>
      <c r="AD218" s="56" t="b">
        <v>0</v>
      </c>
      <c r="AE218" s="54" t="s">
        <v>303</v>
      </c>
      <c r="AF218" s="58">
        <v>46227</v>
      </c>
      <c r="AG218" s="62" t="s">
        <v>293</v>
      </c>
      <c r="AH218" s="54">
        <v>0</v>
      </c>
      <c r="AI218" s="54"/>
      <c r="AJ218" s="54"/>
      <c r="AK218" s="54"/>
      <c r="AL218" s="54"/>
      <c r="AM218" s="54">
        <v>4.95</v>
      </c>
      <c r="AN218" s="54"/>
      <c r="AO218" s="54"/>
      <c r="AP218" s="54"/>
      <c r="AQ218" s="54"/>
      <c r="AR218" s="54"/>
      <c r="AS218" s="54"/>
      <c r="AT218" s="54"/>
      <c r="AU218" s="54"/>
      <c r="AV218" s="54"/>
      <c r="AW218" s="54"/>
      <c r="AX218" s="59"/>
      <c r="AY218" s="59"/>
      <c r="AZ218" s="59"/>
      <c r="BA218" s="59"/>
      <c r="BB218" s="59">
        <v>5.0289E-2</v>
      </c>
      <c r="BC218" s="60"/>
      <c r="BD218" s="61"/>
      <c r="BE218" s="62" t="s">
        <v>293</v>
      </c>
      <c r="BF218" s="35">
        <f t="shared" ref="BF218:BG218" si="387">IF($E218=$E$4,BF$4,IF($E218=$E$5,BF$5,""))</f>
        <v>4.0600000000000005</v>
      </c>
      <c r="BG218" s="35">
        <f t="shared" si="387"/>
        <v>6.0295000000000001E-2</v>
      </c>
      <c r="BH218" s="35" t="str">
        <f t="shared" ref="BH218" si="388">IF(ISTEXT(BE218),IF(AND(AV218=0,SUM(AN218:AQ218)=0),IF(AM218&lt;=0,IF(BE218="Y","Low","Flat"),"Med"),"High"),"?")</f>
        <v>Med</v>
      </c>
      <c r="BI218" s="110">
        <f t="shared" ref="BI218" si="389">IF(ISNUMBER(AH218),0*BI$5*SIN((EDATE($A$3,$Q218)-DATE(YEAR(EDATE($A$3,$Q218)),1,0)-BI$4)*2*PI()/365),"")</f>
        <v>0</v>
      </c>
      <c r="BJ218" s="83">
        <f>VLOOKUP($F218,REP_Info!$D$6:$H$250,5,FALSE)</f>
        <v>1.694</v>
      </c>
      <c r="BK218" s="30">
        <f t="shared" ref="BK218:BN218" si="390">IF(BK$7&gt;0,(LOOKUP(BK$7,$AH218:$AL218,$AM218:$AQ218)+IF($AG218="Y",SUMPRODUCT($AX218:$BB218-$AW218:$BA218,BK$7-$AR218:$AV218,N(BK$7&gt;$AR218:$AV218)),BK$7*LOOKUP(BK$7,$AR218:$AV218,$AX218:$BB218))+IF($BE218="Y",$BF218,$BC218)+BK$7*IF($BE218="Y",$BG218,$BD218))*100/BK$7,"")</f>
        <v>12.860399999999998</v>
      </c>
      <c r="BL218" s="30">
        <f t="shared" si="390"/>
        <v>11.959400000000002</v>
      </c>
      <c r="BM218" s="30">
        <f t="shared" si="390"/>
        <v>11.508899999999999</v>
      </c>
      <c r="BN218" s="29">
        <f t="shared" si="390"/>
        <v>11.358733333333332</v>
      </c>
      <c r="BO218" s="85" t="str">
        <f t="shared" si="2"/>
        <v>$$$</v>
      </c>
      <c r="BP218" s="88" t="str">
        <f t="shared" ref="BP218" si="391">IFERROR(BO218*100/BO$5,"$$$")</f>
        <v>$$$</v>
      </c>
      <c r="BQ218" s="88" t="str">
        <f t="shared" si="4"/>
        <v>$$$</v>
      </c>
      <c r="BR218" s="88" t="str">
        <f t="shared" si="5"/>
        <v>$$$</v>
      </c>
      <c r="BS218" s="29" t="e">
        <f t="shared" ref="BS218:CD218" si="392">IF($CI218,IF(BS$7&gt;0,IF(BS$4&gt;$Q218,$BF218+BS$7*(BS$5+$BG218+$BI218),LOOKUP(BS$7,$AH218:$AL218,$AM218:$AQ218)+IF($AG218="Y",SUMPRODUCT($AX218:$BB218-$AW218:$BA218,BS$7-$AR218:$AV218,N(BS$7&gt;$AR218:$AV218)),BS$7*LOOKUP(BS$7,$AR218:$AV218,$AX218:$BB218))+IF($BE218="Y",$BF218,$BC218)+BS$7*IF($BE218="Y",$BG218,$BD218))*100/BS$7,""),NA())</f>
        <v>#N/A</v>
      </c>
      <c r="BT218" s="29" t="e">
        <f t="shared" si="392"/>
        <v>#N/A</v>
      </c>
      <c r="BU218" s="29" t="e">
        <f t="shared" si="392"/>
        <v>#N/A</v>
      </c>
      <c r="BV218" s="29" t="e">
        <f t="shared" si="392"/>
        <v>#N/A</v>
      </c>
      <c r="BW218" s="29" t="e">
        <f t="shared" si="392"/>
        <v>#N/A</v>
      </c>
      <c r="BX218" s="29" t="e">
        <f t="shared" si="392"/>
        <v>#N/A</v>
      </c>
      <c r="BY218" s="29" t="e">
        <f t="shared" si="392"/>
        <v>#N/A</v>
      </c>
      <c r="BZ218" s="29" t="e">
        <f t="shared" si="392"/>
        <v>#N/A</v>
      </c>
      <c r="CA218" s="29" t="e">
        <f t="shared" si="392"/>
        <v>#N/A</v>
      </c>
      <c r="CB218" s="29" t="e">
        <f t="shared" si="392"/>
        <v>#N/A</v>
      </c>
      <c r="CC218" s="29" t="e">
        <f t="shared" si="392"/>
        <v>#N/A</v>
      </c>
      <c r="CD218" s="29" t="e">
        <f t="shared" si="392"/>
        <v>#N/A</v>
      </c>
      <c r="CE218" s="6" t="str">
        <f t="shared" si="197"/>
        <v/>
      </c>
      <c r="CF218" s="27" t="e">
        <f>IF(AND(CI218,NOT(AD218)),LOOKUP(CF$5,{0,750,1500},H218:J218),"")</f>
        <v>#N/A</v>
      </c>
      <c r="CG218" s="6" t="str">
        <f t="shared" si="198"/>
        <v/>
      </c>
      <c r="CH218" t="e">
        <f t="shared" ref="CH218" si="393">IF(CI218,IF(ISNUMBER(BO218),BO218,100000)+CV218/10000+IF(ISNUMBER(BJ218),BJ218,2)/10000-P218/100000+ROW()/10000000,"")</f>
        <v>#N/A</v>
      </c>
      <c r="CI218" t="e">
        <f t="shared" ref="CI218" si="394">PRODUCT(CJ218:CQ218)</f>
        <v>#N/A</v>
      </c>
      <c r="CJ218" s="6" t="e">
        <f t="shared" si="11"/>
        <v>#N/A</v>
      </c>
      <c r="CK218" s="6">
        <f t="shared" si="12"/>
        <v>1</v>
      </c>
      <c r="CL218" s="6">
        <f t="shared" si="26"/>
        <v>1</v>
      </c>
      <c r="CM218" s="6">
        <f t="shared" si="13"/>
        <v>1</v>
      </c>
      <c r="CN218" s="6">
        <f t="shared" si="14"/>
        <v>0</v>
      </c>
      <c r="CO218" s="6">
        <f t="shared" si="15"/>
        <v>1</v>
      </c>
      <c r="CP218" s="6">
        <f t="shared" si="16"/>
        <v>1</v>
      </c>
      <c r="CQ218" s="6">
        <f t="shared" ref="CQ218" si="395">IF(CQ$5="Any",1,IF(AND(CQ$5="Med",AV218=0,SUM(AN218:AQ218)=0),1,IF(AND(CQ$5="Low",AV218=0,SUM(AN218:AQ218)=0,AM218=0),1,IF(AND(CQ$5="Flat",AV218=0,SUM(AN218:AQ218)=0,AM218=0,IFERROR(NOT(BE218="Y"),0)),1,0))))</f>
        <v>1</v>
      </c>
      <c r="CR218" s="81" t="str">
        <f t="shared" si="17"/>
        <v/>
      </c>
      <c r="CS218">
        <f t="shared" ref="CS218" si="396">CS$5*(12/(MIN(12,Q218))-1)</f>
        <v>3.5999999999999992</v>
      </c>
      <c r="CT218">
        <f t="shared" si="19"/>
        <v>179</v>
      </c>
      <c r="CU218" t="str">
        <f t="shared" si="29"/>
        <v/>
      </c>
      <c r="CV218" s="81">
        <f t="shared" ref="CV218" si="397">CT218*IF(CU218="",1,Q218)</f>
        <v>179</v>
      </c>
      <c r="CW218" s="81">
        <f>(CV218/25)^1.5*(Calculator!$BU$4/10000)*CW$5</f>
        <v>49.47019250040988</v>
      </c>
      <c r="CX218" t="str">
        <f t="shared" ref="CX218" si="398">"$"&amp;IF(LEFT(CU218,1)="r",CT218&amp;"/"&amp;CU218,CV218)</f>
        <v>$179</v>
      </c>
    </row>
    <row r="219" spans="2:102" x14ac:dyDescent="0.25">
      <c r="B219" s="115" t="s">
        <v>233</v>
      </c>
      <c r="C219" s="13">
        <v>46230.89166666667</v>
      </c>
      <c r="D219">
        <v>29268</v>
      </c>
      <c r="E219" s="54" t="s">
        <v>235</v>
      </c>
      <c r="F219" s="54" t="s">
        <v>632</v>
      </c>
      <c r="G219" s="54" t="s">
        <v>2005</v>
      </c>
      <c r="H219" s="55">
        <v>12</v>
      </c>
      <c r="I219" s="55">
        <v>11</v>
      </c>
      <c r="J219" s="55">
        <v>10.6</v>
      </c>
      <c r="K219" s="54"/>
      <c r="L219" s="56" t="b">
        <v>0</v>
      </c>
      <c r="M219" s="56" t="b">
        <v>0</v>
      </c>
      <c r="N219" s="54">
        <v>1</v>
      </c>
      <c r="O219" s="54" t="s">
        <v>228</v>
      </c>
      <c r="P219" s="54">
        <v>6</v>
      </c>
      <c r="Q219" s="54">
        <v>10</v>
      </c>
      <c r="R219" s="54">
        <v>179</v>
      </c>
      <c r="S219" s="54" t="s">
        <v>1682</v>
      </c>
      <c r="T219" s="54"/>
      <c r="U219" s="54" t="s">
        <v>1676</v>
      </c>
      <c r="V219" s="54" t="s">
        <v>1684</v>
      </c>
      <c r="W219" s="54" t="b">
        <v>0</v>
      </c>
      <c r="X219" s="54"/>
      <c r="Y219" s="57" t="s">
        <v>2007</v>
      </c>
      <c r="Z219" s="54" t="s">
        <v>1685</v>
      </c>
      <c r="AA219" s="54"/>
      <c r="AB219" s="54" t="s">
        <v>1686</v>
      </c>
      <c r="AC219" s="56" t="b">
        <v>0</v>
      </c>
      <c r="AD219" s="56" t="b">
        <v>0</v>
      </c>
      <c r="AE219" s="54" t="s">
        <v>303</v>
      </c>
      <c r="AF219" s="58">
        <v>46227</v>
      </c>
      <c r="AG219" s="62" t="s">
        <v>293</v>
      </c>
      <c r="AH219" s="54">
        <v>0</v>
      </c>
      <c r="AI219" s="54"/>
      <c r="AJ219" s="54"/>
      <c r="AK219" s="54"/>
      <c r="AL219" s="54"/>
      <c r="AM219" s="54">
        <v>4.95</v>
      </c>
      <c r="AN219" s="54"/>
      <c r="AO219" s="54"/>
      <c r="AP219" s="54"/>
      <c r="AQ219" s="54"/>
      <c r="AR219" s="54"/>
      <c r="AS219" s="54"/>
      <c r="AT219" s="54"/>
      <c r="AU219" s="54"/>
      <c r="AV219" s="54"/>
      <c r="AW219" s="54"/>
      <c r="AX219" s="59"/>
      <c r="AY219" s="59"/>
      <c r="AZ219" s="59"/>
      <c r="BA219" s="59"/>
      <c r="BB219" s="59">
        <v>4.9183999999999999E-2</v>
      </c>
      <c r="BC219" s="60"/>
      <c r="BD219" s="61"/>
      <c r="BE219" s="62" t="s">
        <v>293</v>
      </c>
      <c r="BF219" s="35">
        <f t="shared" ref="BF219:BG221" si="399">IF($E219=$E$4,BF$4,IF($E219=$E$5,BF$5,""))</f>
        <v>4.9000000000000004</v>
      </c>
      <c r="BG219" s="35">
        <f t="shared" si="399"/>
        <v>5.1461E-2</v>
      </c>
      <c r="BH219" s="35" t="str">
        <f t="shared" ref="BH219:BH221" si="400">IF(ISTEXT(BE219),IF(AND(AV219=0,SUM(AN219:AQ219)=0),IF(AM219&lt;=0,IF(BE219="Y","Low","Flat"),"Med"),"High"),"?")</f>
        <v>Med</v>
      </c>
      <c r="BI219" s="110">
        <f t="shared" ref="BI219:BI221" si="401">IF(ISNUMBER(AH219),0*BI$5*SIN((EDATE($A$3,$Q219)-DATE(YEAR(EDATE($A$3,$Q219)),1,0)-BI$4)*2*PI()/365),"")</f>
        <v>0</v>
      </c>
      <c r="BJ219" s="83">
        <f>VLOOKUP($F219,REP_Info!$D$6:$H$250,5,FALSE)</f>
        <v>1.694</v>
      </c>
      <c r="BK219" s="30">
        <f t="shared" ref="BK219:BN221" si="402">IF(BK$7&gt;0,(LOOKUP(BK$7,$AH219:$AL219,$AM219:$AQ219)+IF($AG219="Y",SUMPRODUCT($AX219:$BB219-$AW219:$BA219,BK$7-$AR219:$AV219,N(BK$7&gt;$AR219:$AV219)),BK$7*LOOKUP(BK$7,$AR219:$AV219,$AX219:$BB219))+IF($BE219="Y",$BF219,$BC219)+BK$7*IF($BE219="Y",$BG219,$BD219))*100/BK$7,"")</f>
        <v>12.0345</v>
      </c>
      <c r="BL219" s="30">
        <f t="shared" si="402"/>
        <v>11.0495</v>
      </c>
      <c r="BM219" s="30">
        <f t="shared" si="402"/>
        <v>10.557</v>
      </c>
      <c r="BN219" s="29">
        <f t="shared" si="402"/>
        <v>10.392833333333332</v>
      </c>
      <c r="BO219" s="85" t="str">
        <f t="shared" ref="BO219:BO221" si="403">IFERROR(SUMPRODUCT($BS$7:$CD$7,$BS219:$CD219)/100,"$$$")</f>
        <v>$$$</v>
      </c>
      <c r="BP219" s="88" t="str">
        <f t="shared" ref="BP219:BP221" si="404">IFERROR(BO219*100/BO$5,"$$$")</f>
        <v>$$$</v>
      </c>
      <c r="BQ219" s="88" t="str">
        <f t="shared" si="4"/>
        <v>$$$</v>
      </c>
      <c r="BR219" s="88" t="str">
        <f t="shared" si="5"/>
        <v>$$$</v>
      </c>
      <c r="BS219" s="29" t="e">
        <f t="shared" ref="BS219:CD221" si="405">IF($CI219,IF(BS$7&gt;0,IF(BS$4&gt;$Q219,$BF219+BS$7*(BS$5+$BG219+$BI219),LOOKUP(BS$7,$AH219:$AL219,$AM219:$AQ219)+IF($AG219="Y",SUMPRODUCT($AX219:$BB219-$AW219:$BA219,BS$7-$AR219:$AV219,N(BS$7&gt;$AR219:$AV219)),BS$7*LOOKUP(BS$7,$AR219:$AV219,$AX219:$BB219))+IF($BE219="Y",$BF219,$BC219)+BS$7*IF($BE219="Y",$BG219,$BD219))*100/BS$7,""),NA())</f>
        <v>#N/A</v>
      </c>
      <c r="BT219" s="29" t="e">
        <f t="shared" si="405"/>
        <v>#N/A</v>
      </c>
      <c r="BU219" s="29" t="e">
        <f t="shared" si="405"/>
        <v>#N/A</v>
      </c>
      <c r="BV219" s="29" t="e">
        <f t="shared" si="405"/>
        <v>#N/A</v>
      </c>
      <c r="BW219" s="29" t="e">
        <f t="shared" si="405"/>
        <v>#N/A</v>
      </c>
      <c r="BX219" s="29" t="e">
        <f t="shared" si="405"/>
        <v>#N/A</v>
      </c>
      <c r="BY219" s="29" t="e">
        <f t="shared" si="405"/>
        <v>#N/A</v>
      </c>
      <c r="BZ219" s="29" t="e">
        <f t="shared" si="405"/>
        <v>#N/A</v>
      </c>
      <c r="CA219" s="29" t="e">
        <f t="shared" si="405"/>
        <v>#N/A</v>
      </c>
      <c r="CB219" s="29" t="e">
        <f t="shared" si="405"/>
        <v>#N/A</v>
      </c>
      <c r="CC219" s="29" t="e">
        <f t="shared" si="405"/>
        <v>#N/A</v>
      </c>
      <c r="CD219" s="29" t="e">
        <f t="shared" si="405"/>
        <v>#N/A</v>
      </c>
      <c r="CE219" s="6" t="str">
        <f t="shared" si="197"/>
        <v/>
      </c>
      <c r="CF219" s="27" t="e">
        <f>IF(AND(CI219,NOT(AD219)),LOOKUP(CF$5,{0,750,1500},H219:J219),"")</f>
        <v>#N/A</v>
      </c>
      <c r="CG219" s="6" t="str">
        <f t="shared" si="198"/>
        <v/>
      </c>
      <c r="CH219" t="e">
        <f t="shared" ref="CH219:CH221" si="406">IF(CI219,IF(ISNUMBER(BO219),BO219,100000)+CV219/10000+IF(ISNUMBER(BJ219),BJ219,2)/10000-P219/100000+ROW()/10000000,"")</f>
        <v>#N/A</v>
      </c>
      <c r="CI219" t="e">
        <f t="shared" ref="CI219:CI221" si="407">PRODUCT(CJ219:CQ219)</f>
        <v>#N/A</v>
      </c>
      <c r="CJ219" s="6" t="e">
        <f t="shared" ref="CJ219:CJ221" si="408">IF($E219=CJ$5,1,0)</f>
        <v>#N/A</v>
      </c>
      <c r="CK219" s="6">
        <f t="shared" ref="CK219:CK221" si="409">IF(CK$5="[Any]",1,IF($F219=CK$5,1,0))</f>
        <v>1</v>
      </c>
      <c r="CL219" s="6">
        <f t="shared" si="26"/>
        <v>1</v>
      </c>
      <c r="CM219" s="6">
        <f t="shared" ref="CM219:CM221" si="410">IF($O219="Fixed",1,0)</f>
        <v>1</v>
      </c>
      <c r="CN219" s="6">
        <f t="shared" ref="CN219:CN221" si="411">IF($Q219&gt;=CN$5,1,0)</f>
        <v>0</v>
      </c>
      <c r="CO219" s="6">
        <f t="shared" ref="CO219:CO221" si="412">IF($Q219&lt;=CO$5,1,0)</f>
        <v>1</v>
      </c>
      <c r="CP219" s="6">
        <f t="shared" ref="CP219:CP221" si="413">IF($P219&gt;=CP$5,1,0)</f>
        <v>1</v>
      </c>
      <c r="CQ219" s="6">
        <f t="shared" ref="CQ219:CQ221" si="414">IF(CQ$5="Any",1,IF(AND(CQ$5="Med",AV219=0,SUM(AN219:AQ219)=0),1,IF(AND(CQ$5="Low",AV219=0,SUM(AN219:AQ219)=0,AM219=0),1,IF(AND(CQ$5="Flat",AV219=0,SUM(AN219:AQ219)=0,AM219=0,IFERROR(NOT(BE219="Y"),0)),1,0))))</f>
        <v>1</v>
      </c>
      <c r="CR219" s="81" t="str">
        <f t="shared" ref="CR219:CR221" si="415">IF(ISNUMBER($CH219),$CH219+$CS219+$CW219,"")</f>
        <v/>
      </c>
      <c r="CS219">
        <f t="shared" ref="CS219:CS221" si="416">CS$5*(12/(MIN(12,Q219))-1)</f>
        <v>3.5999999999999992</v>
      </c>
      <c r="CT219">
        <f t="shared" si="19"/>
        <v>179</v>
      </c>
      <c r="CU219" t="str">
        <f t="shared" si="29"/>
        <v/>
      </c>
      <c r="CV219" s="81">
        <f t="shared" ref="CV219:CV221" si="417">CT219*IF(CU219="",1,Q219)</f>
        <v>179</v>
      </c>
      <c r="CW219" s="81">
        <f>(CV219/25)^1.5*(Calculator!$BU$4/10000)*CW$5</f>
        <v>49.47019250040988</v>
      </c>
      <c r="CX219" t="str">
        <f t="shared" ref="CX219:CX221" si="418">"$"&amp;IF(LEFT(CU219,1)="r",CT219&amp;"/"&amp;CU219,CV219)</f>
        <v>$179</v>
      </c>
    </row>
    <row r="220" spans="2:102" x14ac:dyDescent="0.25">
      <c r="B220" s="115" t="s">
        <v>233</v>
      </c>
      <c r="C220" s="13">
        <v>46230.89166666667</v>
      </c>
      <c r="D220">
        <v>29272</v>
      </c>
      <c r="E220" s="54" t="s">
        <v>237</v>
      </c>
      <c r="F220" s="54" t="s">
        <v>632</v>
      </c>
      <c r="G220" s="54" t="s">
        <v>1907</v>
      </c>
      <c r="H220" s="55">
        <v>13</v>
      </c>
      <c r="I220" s="55">
        <v>12</v>
      </c>
      <c r="J220" s="55">
        <v>11.600000000000001</v>
      </c>
      <c r="K220" s="54"/>
      <c r="L220" s="56" t="b">
        <v>0</v>
      </c>
      <c r="M220" s="56" t="b">
        <v>0</v>
      </c>
      <c r="N220" s="54">
        <v>1</v>
      </c>
      <c r="O220" s="54" t="s">
        <v>228</v>
      </c>
      <c r="P220" s="54">
        <v>6</v>
      </c>
      <c r="Q220" s="54">
        <v>5</v>
      </c>
      <c r="R220" s="54">
        <v>179</v>
      </c>
      <c r="S220" s="54" t="s">
        <v>1682</v>
      </c>
      <c r="T220" s="54"/>
      <c r="U220" s="54" t="s">
        <v>1676</v>
      </c>
      <c r="V220" s="54" t="s">
        <v>1684</v>
      </c>
      <c r="W220" s="54" t="b">
        <v>0</v>
      </c>
      <c r="X220" s="54"/>
      <c r="Y220" s="57" t="s">
        <v>2008</v>
      </c>
      <c r="Z220" s="54" t="s">
        <v>1685</v>
      </c>
      <c r="AA220" s="54"/>
      <c r="AB220" s="54" t="s">
        <v>1686</v>
      </c>
      <c r="AC220" s="56" t="b">
        <v>1</v>
      </c>
      <c r="AD220" s="56" t="b">
        <v>0</v>
      </c>
      <c r="AE220" s="54" t="s">
        <v>303</v>
      </c>
      <c r="AF220" s="58">
        <v>46230</v>
      </c>
      <c r="AG220" s="62" t="s">
        <v>293</v>
      </c>
      <c r="AH220" s="54">
        <v>0</v>
      </c>
      <c r="AI220" s="54"/>
      <c r="AJ220" s="54"/>
      <c r="AK220" s="54"/>
      <c r="AL220" s="54"/>
      <c r="AM220" s="54">
        <v>4.95</v>
      </c>
      <c r="AN220" s="54"/>
      <c r="AO220" s="54"/>
      <c r="AP220" s="54"/>
      <c r="AQ220" s="54"/>
      <c r="AR220" s="54"/>
      <c r="AS220" s="54"/>
      <c r="AT220" s="54"/>
      <c r="AU220" s="54"/>
      <c r="AV220" s="54"/>
      <c r="AW220" s="54"/>
      <c r="AX220" s="59"/>
      <c r="AY220" s="59"/>
      <c r="AZ220" s="59"/>
      <c r="BA220" s="59"/>
      <c r="BB220" s="59">
        <v>5.0289E-2</v>
      </c>
      <c r="BC220" s="60"/>
      <c r="BD220" s="61"/>
      <c r="BE220" s="62" t="s">
        <v>293</v>
      </c>
      <c r="BF220" s="35">
        <f t="shared" si="399"/>
        <v>4.0600000000000005</v>
      </c>
      <c r="BG220" s="35">
        <f t="shared" si="399"/>
        <v>6.0295000000000001E-2</v>
      </c>
      <c r="BH220" s="35" t="str">
        <f t="shared" si="400"/>
        <v>Med</v>
      </c>
      <c r="BI220" s="110">
        <f t="shared" si="401"/>
        <v>0</v>
      </c>
      <c r="BJ220" s="83">
        <f>VLOOKUP($F220,REP_Info!$D$6:$H$250,5,FALSE)</f>
        <v>1.694</v>
      </c>
      <c r="BK220" s="30">
        <f t="shared" si="402"/>
        <v>12.860399999999998</v>
      </c>
      <c r="BL220" s="30">
        <f t="shared" si="402"/>
        <v>11.959400000000002</v>
      </c>
      <c r="BM220" s="30">
        <f t="shared" si="402"/>
        <v>11.508899999999999</v>
      </c>
      <c r="BN220" s="29">
        <f t="shared" si="402"/>
        <v>11.358733333333332</v>
      </c>
      <c r="BO220" s="85" t="str">
        <f t="shared" si="403"/>
        <v>$$$</v>
      </c>
      <c r="BP220" s="88" t="str">
        <f t="shared" si="404"/>
        <v>$$$</v>
      </c>
      <c r="BQ220" s="88" t="str">
        <f t="shared" ref="BQ220:BQ221" si="419">IFERROR(SUMPRODUCT($BS$7:$CD$7,$BS220:$CD220,--($BS$4:$CD$4&lt;=$Q220))/SUMPRODUCT(--($BS$4:$CD$4&lt;=$Q220),$BS$7:$CD$7),"$$$")</f>
        <v>$$$</v>
      </c>
      <c r="BR220" s="88" t="str">
        <f t="shared" ref="BR220:BR221" si="420">IFERROR($BQ220-$BF220*100*SUMPRODUCT(--($BS$4:$CD$4&lt;=$Q220))/SUMPRODUCT(--($BS$4:$CD$4&lt;=$Q220),$BS$7:$CD$7)-$BG220*100,"$$$")</f>
        <v>$$$</v>
      </c>
      <c r="BS220" s="29" t="e">
        <f t="shared" si="405"/>
        <v>#N/A</v>
      </c>
      <c r="BT220" s="29" t="e">
        <f t="shared" si="405"/>
        <v>#N/A</v>
      </c>
      <c r="BU220" s="29" t="e">
        <f t="shared" si="405"/>
        <v>#N/A</v>
      </c>
      <c r="BV220" s="29" t="e">
        <f t="shared" si="405"/>
        <v>#N/A</v>
      </c>
      <c r="BW220" s="29" t="e">
        <f t="shared" si="405"/>
        <v>#N/A</v>
      </c>
      <c r="BX220" s="29" t="e">
        <f t="shared" si="405"/>
        <v>#N/A</v>
      </c>
      <c r="BY220" s="29" t="e">
        <f t="shared" si="405"/>
        <v>#N/A</v>
      </c>
      <c r="BZ220" s="29" t="e">
        <f t="shared" si="405"/>
        <v>#N/A</v>
      </c>
      <c r="CA220" s="29" t="e">
        <f t="shared" si="405"/>
        <v>#N/A</v>
      </c>
      <c r="CB220" s="29" t="e">
        <f t="shared" si="405"/>
        <v>#N/A</v>
      </c>
      <c r="CC220" s="29" t="e">
        <f t="shared" si="405"/>
        <v>#N/A</v>
      </c>
      <c r="CD220" s="29" t="e">
        <f t="shared" si="405"/>
        <v>#N/A</v>
      </c>
      <c r="CE220" s="6" t="str">
        <f t="shared" si="197"/>
        <v/>
      </c>
      <c r="CF220" s="27" t="e">
        <f>IF(AND(CI220,NOT(AD220)),LOOKUP(CF$5,{0,750,1500},H220:J220),"")</f>
        <v>#N/A</v>
      </c>
      <c r="CG220" s="6" t="str">
        <f t="shared" si="198"/>
        <v/>
      </c>
      <c r="CH220" t="e">
        <f t="shared" si="406"/>
        <v>#N/A</v>
      </c>
      <c r="CI220" t="e">
        <f t="shared" si="407"/>
        <v>#N/A</v>
      </c>
      <c r="CJ220" s="6" t="e">
        <f t="shared" si="408"/>
        <v>#N/A</v>
      </c>
      <c r="CK220" s="6">
        <f t="shared" si="409"/>
        <v>1</v>
      </c>
      <c r="CL220" s="6">
        <f t="shared" si="26"/>
        <v>1</v>
      </c>
      <c r="CM220" s="6">
        <f t="shared" si="410"/>
        <v>1</v>
      </c>
      <c r="CN220" s="6">
        <f t="shared" si="411"/>
        <v>0</v>
      </c>
      <c r="CO220" s="6">
        <f t="shared" si="412"/>
        <v>1</v>
      </c>
      <c r="CP220" s="6">
        <f t="shared" si="413"/>
        <v>1</v>
      </c>
      <c r="CQ220" s="6">
        <f t="shared" si="414"/>
        <v>1</v>
      </c>
      <c r="CR220" s="81" t="str">
        <f t="shared" si="415"/>
        <v/>
      </c>
      <c r="CS220">
        <f t="shared" si="416"/>
        <v>25.2</v>
      </c>
      <c r="CT220">
        <f t="shared" si="19"/>
        <v>179</v>
      </c>
      <c r="CU220" t="str">
        <f t="shared" si="29"/>
        <v/>
      </c>
      <c r="CV220" s="81">
        <f t="shared" si="417"/>
        <v>179</v>
      </c>
      <c r="CW220" s="81">
        <f>(CV220/25)^1.5*(Calculator!$BU$4/10000)*CW$5</f>
        <v>49.47019250040988</v>
      </c>
      <c r="CX220" t="str">
        <f t="shared" si="418"/>
        <v>$179</v>
      </c>
    </row>
    <row r="221" spans="2:102" x14ac:dyDescent="0.25">
      <c r="B221" s="115" t="s">
        <v>233</v>
      </c>
      <c r="C221" s="13">
        <v>46230.89166666667</v>
      </c>
      <c r="D221">
        <v>29273</v>
      </c>
      <c r="E221" s="54" t="s">
        <v>235</v>
      </c>
      <c r="F221" s="54" t="s">
        <v>632</v>
      </c>
      <c r="G221" s="54" t="s">
        <v>1907</v>
      </c>
      <c r="H221" s="55">
        <v>12</v>
      </c>
      <c r="I221" s="55">
        <v>11</v>
      </c>
      <c r="J221" s="55">
        <v>10.6</v>
      </c>
      <c r="K221" s="54"/>
      <c r="L221" s="56" t="b">
        <v>0</v>
      </c>
      <c r="M221" s="56" t="b">
        <v>0</v>
      </c>
      <c r="N221" s="54">
        <v>1</v>
      </c>
      <c r="O221" s="54" t="s">
        <v>228</v>
      </c>
      <c r="P221" s="54">
        <v>6</v>
      </c>
      <c r="Q221" s="54">
        <v>5</v>
      </c>
      <c r="R221" s="54">
        <v>179</v>
      </c>
      <c r="S221" s="54" t="s">
        <v>1682</v>
      </c>
      <c r="T221" s="54"/>
      <c r="U221" s="54" t="s">
        <v>1676</v>
      </c>
      <c r="V221" s="54" t="s">
        <v>1684</v>
      </c>
      <c r="W221" s="54" t="b">
        <v>0</v>
      </c>
      <c r="X221" s="54"/>
      <c r="Y221" s="57" t="s">
        <v>2009</v>
      </c>
      <c r="Z221" s="54" t="s">
        <v>1685</v>
      </c>
      <c r="AA221" s="54"/>
      <c r="AB221" s="54" t="s">
        <v>1686</v>
      </c>
      <c r="AC221" s="56" t="b">
        <v>1</v>
      </c>
      <c r="AD221" s="56" t="b">
        <v>0</v>
      </c>
      <c r="AE221" s="54" t="s">
        <v>303</v>
      </c>
      <c r="AF221" s="58">
        <v>46230</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4.9183999999999999E-2</v>
      </c>
      <c r="BC221" s="60"/>
      <c r="BD221" s="61"/>
      <c r="BE221" s="62" t="s">
        <v>293</v>
      </c>
      <c r="BF221" s="35">
        <f t="shared" si="399"/>
        <v>4.9000000000000004</v>
      </c>
      <c r="BG221" s="35">
        <f t="shared" si="399"/>
        <v>5.1461E-2</v>
      </c>
      <c r="BH221" s="35" t="str">
        <f t="shared" si="400"/>
        <v>Med</v>
      </c>
      <c r="BI221" s="110">
        <f t="shared" si="401"/>
        <v>0</v>
      </c>
      <c r="BJ221" s="83">
        <f>VLOOKUP($F221,REP_Info!$D$6:$H$250,5,FALSE)</f>
        <v>1.694</v>
      </c>
      <c r="BK221" s="30">
        <f t="shared" si="402"/>
        <v>12.0345</v>
      </c>
      <c r="BL221" s="30">
        <f t="shared" si="402"/>
        <v>11.0495</v>
      </c>
      <c r="BM221" s="30">
        <f t="shared" si="402"/>
        <v>10.557</v>
      </c>
      <c r="BN221" s="29">
        <f t="shared" si="402"/>
        <v>10.392833333333332</v>
      </c>
      <c r="BO221" s="85" t="str">
        <f t="shared" si="403"/>
        <v>$$$</v>
      </c>
      <c r="BP221" s="88" t="str">
        <f t="shared" si="404"/>
        <v>$$$</v>
      </c>
      <c r="BQ221" s="88" t="str">
        <f t="shared" si="419"/>
        <v>$$$</v>
      </c>
      <c r="BR221" s="88" t="str">
        <f t="shared" si="420"/>
        <v>$$$</v>
      </c>
      <c r="BS221" s="29" t="e">
        <f t="shared" si="405"/>
        <v>#N/A</v>
      </c>
      <c r="BT221" s="29" t="e">
        <f t="shared" si="405"/>
        <v>#N/A</v>
      </c>
      <c r="BU221" s="29" t="e">
        <f t="shared" si="405"/>
        <v>#N/A</v>
      </c>
      <c r="BV221" s="29" t="e">
        <f t="shared" si="405"/>
        <v>#N/A</v>
      </c>
      <c r="BW221" s="29" t="e">
        <f t="shared" si="405"/>
        <v>#N/A</v>
      </c>
      <c r="BX221" s="29" t="e">
        <f t="shared" si="405"/>
        <v>#N/A</v>
      </c>
      <c r="BY221" s="29" t="e">
        <f t="shared" si="405"/>
        <v>#N/A</v>
      </c>
      <c r="BZ221" s="29" t="e">
        <f t="shared" si="405"/>
        <v>#N/A</v>
      </c>
      <c r="CA221" s="29" t="e">
        <f t="shared" si="405"/>
        <v>#N/A</v>
      </c>
      <c r="CB221" s="29" t="e">
        <f t="shared" si="405"/>
        <v>#N/A</v>
      </c>
      <c r="CC221" s="29" t="e">
        <f t="shared" si="405"/>
        <v>#N/A</v>
      </c>
      <c r="CD221" s="29" t="e">
        <f t="shared" si="405"/>
        <v>#N/A</v>
      </c>
      <c r="CE221" s="6" t="str">
        <f t="shared" si="197"/>
        <v/>
      </c>
      <c r="CF221" s="27" t="e">
        <f>IF(AND(CI221,NOT(AD221)),LOOKUP(CF$5,{0,750,1500},H221:J221),"")</f>
        <v>#N/A</v>
      </c>
      <c r="CG221" s="6" t="str">
        <f t="shared" si="198"/>
        <v/>
      </c>
      <c r="CH221" t="e">
        <f t="shared" si="406"/>
        <v>#N/A</v>
      </c>
      <c r="CI221" t="e">
        <f t="shared" si="407"/>
        <v>#N/A</v>
      </c>
      <c r="CJ221" s="6" t="e">
        <f t="shared" si="408"/>
        <v>#N/A</v>
      </c>
      <c r="CK221" s="6">
        <f t="shared" si="409"/>
        <v>1</v>
      </c>
      <c r="CL221" s="6">
        <f t="shared" si="26"/>
        <v>1</v>
      </c>
      <c r="CM221" s="6">
        <f t="shared" si="410"/>
        <v>1</v>
      </c>
      <c r="CN221" s="6">
        <f t="shared" si="411"/>
        <v>0</v>
      </c>
      <c r="CO221" s="6">
        <f t="shared" si="412"/>
        <v>1</v>
      </c>
      <c r="CP221" s="6">
        <f t="shared" si="413"/>
        <v>1</v>
      </c>
      <c r="CQ221" s="6">
        <f t="shared" si="414"/>
        <v>1</v>
      </c>
      <c r="CR221" s="81" t="str">
        <f t="shared" si="415"/>
        <v/>
      </c>
      <c r="CS221">
        <f t="shared" si="416"/>
        <v>25.2</v>
      </c>
      <c r="CT221">
        <f t="shared" si="19"/>
        <v>179</v>
      </c>
      <c r="CU221" t="str">
        <f t="shared" si="29"/>
        <v/>
      </c>
      <c r="CV221" s="81">
        <f t="shared" si="417"/>
        <v>179</v>
      </c>
      <c r="CW221" s="81">
        <f>(CV221/25)^1.5*(Calculator!$BU$4/10000)*CW$5</f>
        <v>49.47019250040988</v>
      </c>
      <c r="CX221" t="str">
        <f t="shared" si="418"/>
        <v>$179</v>
      </c>
    </row>
    <row r="222" spans="2:102" x14ac:dyDescent="0.25">
      <c r="B222" s="115" t="s">
        <v>233</v>
      </c>
      <c r="C222" s="13">
        <v>46232.244444444441</v>
      </c>
      <c r="D222">
        <v>29277</v>
      </c>
      <c r="E222" s="54" t="s">
        <v>237</v>
      </c>
      <c r="F222" s="54" t="s">
        <v>632</v>
      </c>
      <c r="G222" s="54" t="s">
        <v>1717</v>
      </c>
      <c r="H222" s="55">
        <v>13.8</v>
      </c>
      <c r="I222" s="55">
        <v>12.8</v>
      </c>
      <c r="J222" s="55">
        <v>12.4</v>
      </c>
      <c r="K222" s="54"/>
      <c r="L222" s="56" t="b">
        <v>0</v>
      </c>
      <c r="M222" s="56" t="b">
        <v>0</v>
      </c>
      <c r="N222" s="54">
        <v>1</v>
      </c>
      <c r="O222" s="54" t="s">
        <v>228</v>
      </c>
      <c r="P222" s="54">
        <v>6</v>
      </c>
      <c r="Q222" s="54">
        <v>12</v>
      </c>
      <c r="R222" s="54">
        <v>179</v>
      </c>
      <c r="S222" s="54" t="s">
        <v>1682</v>
      </c>
      <c r="T222" s="54"/>
      <c r="U222" s="54" t="s">
        <v>1676</v>
      </c>
      <c r="V222" s="54" t="s">
        <v>1684</v>
      </c>
      <c r="W222" s="54" t="b">
        <v>0</v>
      </c>
      <c r="X222" s="54"/>
      <c r="Y222" s="57" t="s">
        <v>2074</v>
      </c>
      <c r="Z222" s="54" t="s">
        <v>1685</v>
      </c>
      <c r="AA222" s="54"/>
      <c r="AB222" s="54" t="s">
        <v>1686</v>
      </c>
      <c r="AC222" s="56" t="b">
        <v>0</v>
      </c>
      <c r="AD222" s="56" t="b">
        <v>0</v>
      </c>
      <c r="AE222" s="54" t="s">
        <v>303</v>
      </c>
      <c r="AF222" s="58">
        <v>46231</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5.8289000000000001E-2</v>
      </c>
      <c r="BC222" s="60"/>
      <c r="BD222" s="61"/>
      <c r="BE222" s="62" t="s">
        <v>293</v>
      </c>
      <c r="BF222" s="35">
        <f t="shared" ref="BF222:BG222" si="421">IF($E222=$E$4,BF$4,IF($E222=$E$5,BF$5,""))</f>
        <v>4.0600000000000005</v>
      </c>
      <c r="BG222" s="35">
        <f t="shared" si="421"/>
        <v>6.0295000000000001E-2</v>
      </c>
      <c r="BH222" s="35" t="str">
        <f t="shared" ref="BH222" si="422">IF(ISTEXT(BE222),IF(AND(AV222=0,SUM(AN222:AQ222)=0),IF(AM222&lt;=0,IF(BE222="Y","Low","Flat"),"Med"),"High"),"?")</f>
        <v>Med</v>
      </c>
      <c r="BI222" s="110">
        <f t="shared" ref="BI222" si="423">IF(ISNUMBER(AH222),0*BI$5*SIN((EDATE($A$3,$Q222)-DATE(YEAR(EDATE($A$3,$Q222)),1,0)-BI$4)*2*PI()/365),"")</f>
        <v>0</v>
      </c>
      <c r="BJ222" s="83">
        <f>VLOOKUP($F222,REP_Info!$D$6:$H$250,5,FALSE)</f>
        <v>1.694</v>
      </c>
      <c r="BK222" s="30">
        <f t="shared" ref="BK222:BN222" si="424">IF(BK$7&gt;0,(LOOKUP(BK$7,$AH222:$AL222,$AM222:$AQ222)+IF($AG222="Y",SUMPRODUCT($AX222:$BB222-$AW222:$BA222,BK$7-$AR222:$AV222,N(BK$7&gt;$AR222:$AV222)),BK$7*LOOKUP(BK$7,$AR222:$AV222,$AX222:$BB222))+IF($BE222="Y",$BF222,$BC222)+BK$7*IF($BE222="Y",$BG222,$BD222))*100/BK$7,"")</f>
        <v>13.660400000000001</v>
      </c>
      <c r="BL222" s="30">
        <f t="shared" si="424"/>
        <v>12.759400000000001</v>
      </c>
      <c r="BM222" s="30">
        <f t="shared" si="424"/>
        <v>12.3089</v>
      </c>
      <c r="BN222" s="29">
        <f t="shared" si="424"/>
        <v>12.158733333333332</v>
      </c>
      <c r="BO222" s="85" t="str">
        <f t="shared" ref="BO222" si="425">IFERROR(SUMPRODUCT($BS$7:$CD$7,$BS222:$CD222)/100,"$$$")</f>
        <v>$$$</v>
      </c>
      <c r="BP222" s="88" t="str">
        <f t="shared" ref="BP222" si="426">IFERROR(BO222*100/BO$5,"$$$")</f>
        <v>$$$</v>
      </c>
      <c r="BQ222" s="88" t="str">
        <f t="shared" si="4"/>
        <v>$$$</v>
      </c>
      <c r="BR222" s="88" t="str">
        <f t="shared" si="5"/>
        <v>$$$</v>
      </c>
      <c r="BS222" s="29" t="e">
        <f t="shared" ref="BS222:CD222" si="427">IF($CI222,IF(BS$7&gt;0,IF(BS$4&gt;$Q222,$BF222+BS$7*(BS$5+$BG222+$BI222),LOOKUP(BS$7,$AH222:$AL222,$AM222:$AQ222)+IF($AG222="Y",SUMPRODUCT($AX222:$BB222-$AW222:$BA222,BS$7-$AR222:$AV222,N(BS$7&gt;$AR222:$AV222)),BS$7*LOOKUP(BS$7,$AR222:$AV222,$AX222:$BB222))+IF($BE222="Y",$BF222,$BC222)+BS$7*IF($BE222="Y",$BG222,$BD222))*100/BS$7,""),NA())</f>
        <v>#N/A</v>
      </c>
      <c r="BT222" s="29" t="e">
        <f t="shared" si="427"/>
        <v>#N/A</v>
      </c>
      <c r="BU222" s="29" t="e">
        <f t="shared" si="427"/>
        <v>#N/A</v>
      </c>
      <c r="BV222" s="29" t="e">
        <f t="shared" si="427"/>
        <v>#N/A</v>
      </c>
      <c r="BW222" s="29" t="e">
        <f t="shared" si="427"/>
        <v>#N/A</v>
      </c>
      <c r="BX222" s="29" t="e">
        <f t="shared" si="427"/>
        <v>#N/A</v>
      </c>
      <c r="BY222" s="29" t="e">
        <f t="shared" si="427"/>
        <v>#N/A</v>
      </c>
      <c r="BZ222" s="29" t="e">
        <f t="shared" si="427"/>
        <v>#N/A</v>
      </c>
      <c r="CA222" s="29" t="e">
        <f t="shared" si="427"/>
        <v>#N/A</v>
      </c>
      <c r="CB222" s="29" t="e">
        <f t="shared" si="427"/>
        <v>#N/A</v>
      </c>
      <c r="CC222" s="29" t="e">
        <f t="shared" si="427"/>
        <v>#N/A</v>
      </c>
      <c r="CD222" s="29" t="e">
        <f t="shared" si="427"/>
        <v>#N/A</v>
      </c>
      <c r="CE222" s="6" t="str">
        <f t="shared" si="197"/>
        <v/>
      </c>
      <c r="CF222" s="27" t="e">
        <f>IF(AND(CI222,NOT(AD222)),LOOKUP(CF$5,{0,750,1500},H222:J222),"")</f>
        <v>#N/A</v>
      </c>
      <c r="CG222" s="6" t="str">
        <f t="shared" si="198"/>
        <v/>
      </c>
      <c r="CH222" t="e">
        <f t="shared" ref="CH222" si="428">IF(CI222,IF(ISNUMBER(BO222),BO222,100000)+CV222/10000+IF(ISNUMBER(BJ222),BJ222,2)/10000-P222/100000+ROW()/10000000,"")</f>
        <v>#N/A</v>
      </c>
      <c r="CI222" t="e">
        <f t="shared" ref="CI222" si="429">PRODUCT(CJ222:CQ222)</f>
        <v>#N/A</v>
      </c>
      <c r="CJ222" s="6" t="e">
        <f t="shared" ref="CJ222" si="430">IF($E222=CJ$5,1,0)</f>
        <v>#N/A</v>
      </c>
      <c r="CK222" s="6">
        <f t="shared" ref="CK222" si="431">IF(CK$5="[Any]",1,IF($F222=CK$5,1,0))</f>
        <v>1</v>
      </c>
      <c r="CL222" s="6">
        <f t="shared" si="26"/>
        <v>1</v>
      </c>
      <c r="CM222" s="6">
        <f t="shared" ref="CM222" si="432">IF($O222="Fixed",1,0)</f>
        <v>1</v>
      </c>
      <c r="CN222" s="6">
        <f t="shared" ref="CN222" si="433">IF($Q222&gt;=CN$5,1,0)</f>
        <v>1</v>
      </c>
      <c r="CO222" s="6">
        <f t="shared" ref="CO222" si="434">IF($Q222&lt;=CO$5,1,0)</f>
        <v>1</v>
      </c>
      <c r="CP222" s="6">
        <f t="shared" ref="CP222" si="435">IF($P222&gt;=CP$5,1,0)</f>
        <v>1</v>
      </c>
      <c r="CQ222" s="6">
        <f t="shared" ref="CQ222" si="436">IF(CQ$5="Any",1,IF(AND(CQ$5="Med",AV222=0,SUM(AN222:AQ222)=0),1,IF(AND(CQ$5="Low",AV222=0,SUM(AN222:AQ222)=0,AM222=0),1,IF(AND(CQ$5="Flat",AV222=0,SUM(AN222:AQ222)=0,AM222=0,IFERROR(NOT(BE222="Y"),0)),1,0))))</f>
        <v>1</v>
      </c>
      <c r="CR222" s="81" t="str">
        <f t="shared" ref="CR222" si="437">IF(ISNUMBER($CH222),$CH222+$CS222+$CW222,"")</f>
        <v/>
      </c>
      <c r="CS222">
        <f t="shared" ref="CS222" si="438">CS$5*(12/(MIN(12,Q222))-1)</f>
        <v>0</v>
      </c>
      <c r="CT222">
        <f t="shared" si="19"/>
        <v>179</v>
      </c>
      <c r="CU222" t="str">
        <f t="shared" si="29"/>
        <v/>
      </c>
      <c r="CV222" s="81">
        <f t="shared" ref="CV222" si="439">CT222*IF(CU222="",1,Q222)</f>
        <v>179</v>
      </c>
      <c r="CW222" s="81">
        <f>(CV222/25)^1.5*(Calculator!$BU$4/10000)*CW$5</f>
        <v>49.47019250040988</v>
      </c>
      <c r="CX222" t="str">
        <f t="shared" ref="CX222" si="440">"$"&amp;IF(LEFT(CU222,1)="r",CT222&amp;"/"&amp;CU222,CV222)</f>
        <v>$179</v>
      </c>
    </row>
    <row r="223" spans="2:102" x14ac:dyDescent="0.25">
      <c r="B223" s="115" t="s">
        <v>233</v>
      </c>
      <c r="C223" s="13">
        <v>46232.244444444441</v>
      </c>
      <c r="D223">
        <v>29278</v>
      </c>
      <c r="E223" s="54" t="s">
        <v>235</v>
      </c>
      <c r="F223" s="54" t="s">
        <v>632</v>
      </c>
      <c r="G223" s="54" t="s">
        <v>1718</v>
      </c>
      <c r="H223" s="55">
        <v>12.6</v>
      </c>
      <c r="I223" s="55">
        <v>11.600000000000001</v>
      </c>
      <c r="J223" s="55">
        <v>11.200000000000001</v>
      </c>
      <c r="K223" s="54"/>
      <c r="L223" s="56" t="b">
        <v>0</v>
      </c>
      <c r="M223" s="56" t="b">
        <v>0</v>
      </c>
      <c r="N223" s="54">
        <v>1</v>
      </c>
      <c r="O223" s="54" t="s">
        <v>228</v>
      </c>
      <c r="P223" s="54">
        <v>6</v>
      </c>
      <c r="Q223" s="54">
        <v>12</v>
      </c>
      <c r="R223" s="54">
        <v>179</v>
      </c>
      <c r="S223" s="54" t="s">
        <v>1682</v>
      </c>
      <c r="T223" s="54"/>
      <c r="U223" s="54" t="s">
        <v>1676</v>
      </c>
      <c r="V223" s="54" t="s">
        <v>1684</v>
      </c>
      <c r="W223" s="54" t="b">
        <v>0</v>
      </c>
      <c r="X223" s="54"/>
      <c r="Y223" s="57" t="s">
        <v>2075</v>
      </c>
      <c r="Z223" s="54" t="s">
        <v>1685</v>
      </c>
      <c r="AA223" s="54"/>
      <c r="AB223" s="54" t="s">
        <v>1686</v>
      </c>
      <c r="AC223" s="56" t="b">
        <v>0</v>
      </c>
      <c r="AD223" s="56" t="b">
        <v>0</v>
      </c>
      <c r="AE223" s="54" t="s">
        <v>303</v>
      </c>
      <c r="AF223" s="58">
        <v>46231</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5.5183999999999997E-2</v>
      </c>
      <c r="BC223" s="60"/>
      <c r="BD223" s="61"/>
      <c r="BE223" s="62" t="s">
        <v>293</v>
      </c>
      <c r="BF223" s="35">
        <f t="shared" ref="BF223:BG230" si="441">IF($E223=$E$4,BF$4,IF($E223=$E$5,BF$5,""))</f>
        <v>4.9000000000000004</v>
      </c>
      <c r="BG223" s="35">
        <f t="shared" si="441"/>
        <v>5.1461E-2</v>
      </c>
      <c r="BH223" s="35" t="str">
        <f t="shared" ref="BH223:BH230" si="442">IF(ISTEXT(BE223),IF(AND(AV223=0,SUM(AN223:AQ223)=0),IF(AM223&lt;=0,IF(BE223="Y","Low","Flat"),"Med"),"High"),"?")</f>
        <v>Med</v>
      </c>
      <c r="BI223" s="110">
        <f t="shared" ref="BI223:BI230" si="443">IF(ISNUMBER(AH223),0*BI$5*SIN((EDATE($A$3,$Q223)-DATE(YEAR(EDATE($A$3,$Q223)),1,0)-BI$4)*2*PI()/365),"")</f>
        <v>0</v>
      </c>
      <c r="BJ223" s="83">
        <f>VLOOKUP($F223,REP_Info!$D$6:$H$250,5,FALSE)</f>
        <v>1.694</v>
      </c>
      <c r="BK223" s="30">
        <f t="shared" ref="BK223:BN230" si="444">IF(BK$7&gt;0,(LOOKUP(BK$7,$AH223:$AL223,$AM223:$AQ223)+IF($AG223="Y",SUMPRODUCT($AX223:$BB223-$AW223:$BA223,BK$7-$AR223:$AV223,N(BK$7&gt;$AR223:$AV223)),BK$7*LOOKUP(BK$7,$AR223:$AV223,$AX223:$BB223))+IF($BE223="Y",$BF223,$BC223)+BK$7*IF($BE223="Y",$BG223,$BD223))*100/BK$7,"")</f>
        <v>12.634499999999999</v>
      </c>
      <c r="BL223" s="30">
        <f t="shared" si="444"/>
        <v>11.6495</v>
      </c>
      <c r="BM223" s="30">
        <f t="shared" si="444"/>
        <v>11.157</v>
      </c>
      <c r="BN223" s="29">
        <f t="shared" si="444"/>
        <v>10.992833333333333</v>
      </c>
      <c r="BO223" s="85" t="str">
        <f t="shared" si="2"/>
        <v>$$$</v>
      </c>
      <c r="BP223" s="88" t="str">
        <f t="shared" ref="BP223:BP230" si="445">IFERROR(BO223*100/BO$5,"$$$")</f>
        <v>$$$</v>
      </c>
      <c r="BQ223" s="88" t="str">
        <f t="shared" si="4"/>
        <v>$$$</v>
      </c>
      <c r="BR223" s="88" t="str">
        <f t="shared" si="5"/>
        <v>$$$</v>
      </c>
      <c r="BS223" s="29" t="e">
        <f t="shared" ref="BS223:CD230" si="446">IF($CI223,IF(BS$7&gt;0,IF(BS$4&gt;$Q223,$BF223+BS$7*(BS$5+$BG223+$BI223),LOOKUP(BS$7,$AH223:$AL223,$AM223:$AQ223)+IF($AG223="Y",SUMPRODUCT($AX223:$BB223-$AW223:$BA223,BS$7-$AR223:$AV223,N(BS$7&gt;$AR223:$AV223)),BS$7*LOOKUP(BS$7,$AR223:$AV223,$AX223:$BB223))+IF($BE223="Y",$BF223,$BC223)+BS$7*IF($BE223="Y",$BG223,$BD223))*100/BS$7,""),NA())</f>
        <v>#N/A</v>
      </c>
      <c r="BT223" s="29" t="e">
        <f t="shared" si="446"/>
        <v>#N/A</v>
      </c>
      <c r="BU223" s="29" t="e">
        <f t="shared" si="446"/>
        <v>#N/A</v>
      </c>
      <c r="BV223" s="29" t="e">
        <f t="shared" si="446"/>
        <v>#N/A</v>
      </c>
      <c r="BW223" s="29" t="e">
        <f t="shared" si="446"/>
        <v>#N/A</v>
      </c>
      <c r="BX223" s="29" t="e">
        <f t="shared" si="446"/>
        <v>#N/A</v>
      </c>
      <c r="BY223" s="29" t="e">
        <f t="shared" si="446"/>
        <v>#N/A</v>
      </c>
      <c r="BZ223" s="29" t="e">
        <f t="shared" si="446"/>
        <v>#N/A</v>
      </c>
      <c r="CA223" s="29" t="e">
        <f t="shared" si="446"/>
        <v>#N/A</v>
      </c>
      <c r="CB223" s="29" t="e">
        <f t="shared" si="446"/>
        <v>#N/A</v>
      </c>
      <c r="CC223" s="29" t="e">
        <f t="shared" si="446"/>
        <v>#N/A</v>
      </c>
      <c r="CD223" s="29" t="e">
        <f t="shared" si="446"/>
        <v>#N/A</v>
      </c>
      <c r="CE223" s="6" t="str">
        <f t="shared" si="197"/>
        <v/>
      </c>
      <c r="CF223" s="27" t="e">
        <f>IF(AND(CI223,NOT(AD223)),LOOKUP(CF$5,{0,750,1500},H223:J223),"")</f>
        <v>#N/A</v>
      </c>
      <c r="CG223" s="6" t="str">
        <f t="shared" si="198"/>
        <v/>
      </c>
      <c r="CH223" t="e">
        <f t="shared" ref="CH223:CH230" si="447">IF(CI223,IF(ISNUMBER(BO223),BO223,100000)+CV223/10000+IF(ISNUMBER(BJ223),BJ223,2)/10000-P223/100000+ROW()/10000000,"")</f>
        <v>#N/A</v>
      </c>
      <c r="CI223" t="e">
        <f t="shared" ref="CI223:CI230" si="448">PRODUCT(CJ223:CQ223)</f>
        <v>#N/A</v>
      </c>
      <c r="CJ223" s="6" t="e">
        <f t="shared" si="11"/>
        <v>#N/A</v>
      </c>
      <c r="CK223" s="6">
        <f t="shared" si="12"/>
        <v>1</v>
      </c>
      <c r="CL223" s="6">
        <f t="shared" si="26"/>
        <v>1</v>
      </c>
      <c r="CM223" s="6">
        <f t="shared" si="13"/>
        <v>1</v>
      </c>
      <c r="CN223" s="6">
        <f t="shared" si="14"/>
        <v>1</v>
      </c>
      <c r="CO223" s="6">
        <f t="shared" si="15"/>
        <v>1</v>
      </c>
      <c r="CP223" s="6">
        <f t="shared" si="16"/>
        <v>1</v>
      </c>
      <c r="CQ223" s="6">
        <f t="shared" ref="CQ223:CQ230" si="449">IF(CQ$5="Any",1,IF(AND(CQ$5="Med",AV223=0,SUM(AN223:AQ223)=0),1,IF(AND(CQ$5="Low",AV223=0,SUM(AN223:AQ223)=0,AM223=0),1,IF(AND(CQ$5="Flat",AV223=0,SUM(AN223:AQ223)=0,AM223=0,IFERROR(NOT(BE223="Y"),0)),1,0))))</f>
        <v>1</v>
      </c>
      <c r="CR223" s="81" t="str">
        <f t="shared" si="17"/>
        <v/>
      </c>
      <c r="CS223">
        <f t="shared" ref="CS223:CS230" si="450">CS$5*(12/(MIN(12,Q223))-1)</f>
        <v>0</v>
      </c>
      <c r="CT223">
        <f t="shared" si="19"/>
        <v>179</v>
      </c>
      <c r="CU223" t="str">
        <f t="shared" si="29"/>
        <v/>
      </c>
      <c r="CV223" s="81">
        <f t="shared" ref="CV223:CV230" si="451">CT223*IF(CU223="",1,Q223)</f>
        <v>179</v>
      </c>
      <c r="CW223" s="81">
        <f>(CV223/25)^1.5*(Calculator!$BU$4/10000)*CW$5</f>
        <v>49.47019250040988</v>
      </c>
      <c r="CX223" t="str">
        <f t="shared" ref="CX223:CX230" si="452">"$"&amp;IF(LEFT(CU223,1)="r",CT223&amp;"/"&amp;CU223,CV223)</f>
        <v>$179</v>
      </c>
    </row>
    <row r="224" spans="2:102" x14ac:dyDescent="0.25">
      <c r="B224" s="115" t="s">
        <v>233</v>
      </c>
      <c r="C224" s="13">
        <v>46175.509027777778</v>
      </c>
      <c r="D224">
        <v>29282</v>
      </c>
      <c r="E224" s="54" t="s">
        <v>237</v>
      </c>
      <c r="F224" s="54" t="s">
        <v>632</v>
      </c>
      <c r="G224" s="54" t="s">
        <v>1777</v>
      </c>
      <c r="H224" s="55">
        <v>15.2</v>
      </c>
      <c r="I224" s="55">
        <v>14.2</v>
      </c>
      <c r="J224" s="55">
        <v>13.8</v>
      </c>
      <c r="K224" s="54"/>
      <c r="L224" s="56" t="b">
        <v>0</v>
      </c>
      <c r="M224" s="56" t="b">
        <v>0</v>
      </c>
      <c r="N224" s="54">
        <v>1</v>
      </c>
      <c r="O224" s="54" t="s">
        <v>228</v>
      </c>
      <c r="P224" s="54">
        <v>6</v>
      </c>
      <c r="Q224" s="54">
        <v>36</v>
      </c>
      <c r="R224" s="54">
        <v>179</v>
      </c>
      <c r="S224" s="54" t="s">
        <v>1682</v>
      </c>
      <c r="T224" s="54"/>
      <c r="U224" s="54" t="s">
        <v>1676</v>
      </c>
      <c r="V224" s="54" t="s">
        <v>1684</v>
      </c>
      <c r="W224" s="54" t="b">
        <v>0</v>
      </c>
      <c r="X224" s="54"/>
      <c r="Y224" s="57" t="s">
        <v>1778</v>
      </c>
      <c r="Z224" s="54" t="s">
        <v>1685</v>
      </c>
      <c r="AA224" s="54"/>
      <c r="AB224" s="54" t="s">
        <v>1686</v>
      </c>
      <c r="AC224" s="56" t="b">
        <v>0</v>
      </c>
      <c r="AD224" s="56" t="b">
        <v>0</v>
      </c>
      <c r="AE224" s="54" t="s">
        <v>303</v>
      </c>
      <c r="AF224" s="58">
        <v>46174</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7.2289000000000006E-2</v>
      </c>
      <c r="BC224" s="60"/>
      <c r="BD224" s="61"/>
      <c r="BE224" s="62" t="s">
        <v>293</v>
      </c>
      <c r="BF224" s="35">
        <f t="shared" si="441"/>
        <v>4.0600000000000005</v>
      </c>
      <c r="BG224" s="35">
        <f t="shared" si="441"/>
        <v>6.0295000000000001E-2</v>
      </c>
      <c r="BH224" s="35" t="str">
        <f t="shared" si="442"/>
        <v>Med</v>
      </c>
      <c r="BI224" s="110">
        <f t="shared" si="443"/>
        <v>0</v>
      </c>
      <c r="BJ224" s="83">
        <f>VLOOKUP($F224,REP_Info!$D$6:$H$250,5,FALSE)</f>
        <v>1.694</v>
      </c>
      <c r="BK224" s="30">
        <f t="shared" si="444"/>
        <v>15.060400000000001</v>
      </c>
      <c r="BL224" s="30">
        <f t="shared" si="444"/>
        <v>14.1594</v>
      </c>
      <c r="BM224" s="30">
        <f t="shared" si="444"/>
        <v>13.7089</v>
      </c>
      <c r="BN224" s="29">
        <f t="shared" si="444"/>
        <v>13.558733333333333</v>
      </c>
      <c r="BO224" s="85" t="str">
        <f t="shared" si="2"/>
        <v>$$$</v>
      </c>
      <c r="BP224" s="88" t="str">
        <f t="shared" si="445"/>
        <v>$$$</v>
      </c>
      <c r="BQ224" s="88" t="str">
        <f t="shared" si="4"/>
        <v>$$$</v>
      </c>
      <c r="BR224" s="88" t="str">
        <f t="shared" si="5"/>
        <v>$$$</v>
      </c>
      <c r="BS224" s="29" t="e">
        <f t="shared" si="446"/>
        <v>#N/A</v>
      </c>
      <c r="BT224" s="29" t="e">
        <f t="shared" si="446"/>
        <v>#N/A</v>
      </c>
      <c r="BU224" s="29" t="e">
        <f t="shared" si="446"/>
        <v>#N/A</v>
      </c>
      <c r="BV224" s="29" t="e">
        <f t="shared" si="446"/>
        <v>#N/A</v>
      </c>
      <c r="BW224" s="29" t="e">
        <f t="shared" si="446"/>
        <v>#N/A</v>
      </c>
      <c r="BX224" s="29" t="e">
        <f t="shared" si="446"/>
        <v>#N/A</v>
      </c>
      <c r="BY224" s="29" t="e">
        <f t="shared" si="446"/>
        <v>#N/A</v>
      </c>
      <c r="BZ224" s="29" t="e">
        <f t="shared" si="446"/>
        <v>#N/A</v>
      </c>
      <c r="CA224" s="29" t="e">
        <f t="shared" si="446"/>
        <v>#N/A</v>
      </c>
      <c r="CB224" s="29" t="e">
        <f t="shared" si="446"/>
        <v>#N/A</v>
      </c>
      <c r="CC224" s="29" t="e">
        <f t="shared" si="446"/>
        <v>#N/A</v>
      </c>
      <c r="CD224" s="29" t="e">
        <f t="shared" si="446"/>
        <v>#N/A</v>
      </c>
      <c r="CE224" s="6" t="str">
        <f t="shared" si="197"/>
        <v/>
      </c>
      <c r="CF224" s="27" t="e">
        <f>IF(AND(CI224,NOT(AD224)),LOOKUP(CF$5,{0,750,1500},H224:J224),"")</f>
        <v>#N/A</v>
      </c>
      <c r="CG224" s="6" t="str">
        <f t="shared" si="198"/>
        <v/>
      </c>
      <c r="CH224" t="e">
        <f t="shared" si="447"/>
        <v>#N/A</v>
      </c>
      <c r="CI224" t="e">
        <f t="shared" si="448"/>
        <v>#N/A</v>
      </c>
      <c r="CJ224" s="6" t="e">
        <f t="shared" si="11"/>
        <v>#N/A</v>
      </c>
      <c r="CK224" s="6">
        <f t="shared" si="12"/>
        <v>1</v>
      </c>
      <c r="CL224" s="6">
        <f t="shared" si="26"/>
        <v>1</v>
      </c>
      <c r="CM224" s="6">
        <f t="shared" si="13"/>
        <v>1</v>
      </c>
      <c r="CN224" s="6">
        <f t="shared" si="14"/>
        <v>1</v>
      </c>
      <c r="CO224" s="6">
        <f t="shared" si="15"/>
        <v>0</v>
      </c>
      <c r="CP224" s="6">
        <f t="shared" si="16"/>
        <v>1</v>
      </c>
      <c r="CQ224" s="6">
        <f t="shared" si="449"/>
        <v>1</v>
      </c>
      <c r="CR224" s="81" t="str">
        <f t="shared" si="17"/>
        <v/>
      </c>
      <c r="CS224">
        <f t="shared" si="450"/>
        <v>0</v>
      </c>
      <c r="CT224">
        <f t="shared" si="19"/>
        <v>179</v>
      </c>
      <c r="CU224" t="str">
        <f t="shared" si="29"/>
        <v/>
      </c>
      <c r="CV224" s="81">
        <f t="shared" si="451"/>
        <v>179</v>
      </c>
      <c r="CW224" s="81">
        <f>(CV224/25)^1.5*(Calculator!$BU$4/10000)*CW$5</f>
        <v>49.47019250040988</v>
      </c>
      <c r="CX224" t="str">
        <f t="shared" si="452"/>
        <v>$179</v>
      </c>
    </row>
    <row r="225" spans="2:102" x14ac:dyDescent="0.25">
      <c r="B225" s="115" t="s">
        <v>233</v>
      </c>
      <c r="C225" s="13">
        <v>46218.518055555556</v>
      </c>
      <c r="D225">
        <v>29283</v>
      </c>
      <c r="E225" s="54" t="s">
        <v>235</v>
      </c>
      <c r="F225" s="54" t="s">
        <v>632</v>
      </c>
      <c r="G225" s="54" t="s">
        <v>1777</v>
      </c>
      <c r="H225" s="55">
        <v>14.499999999999998</v>
      </c>
      <c r="I225" s="55">
        <v>13.5</v>
      </c>
      <c r="J225" s="55">
        <v>13</v>
      </c>
      <c r="K225" s="54"/>
      <c r="L225" s="56" t="b">
        <v>0</v>
      </c>
      <c r="M225" s="56" t="b">
        <v>0</v>
      </c>
      <c r="N225" s="54">
        <v>1</v>
      </c>
      <c r="O225" s="54" t="s">
        <v>228</v>
      </c>
      <c r="P225" s="54">
        <v>6</v>
      </c>
      <c r="Q225" s="54">
        <v>36</v>
      </c>
      <c r="R225" s="54">
        <v>179</v>
      </c>
      <c r="S225" s="54" t="s">
        <v>1682</v>
      </c>
      <c r="T225" s="54"/>
      <c r="U225" s="54" t="s">
        <v>1676</v>
      </c>
      <c r="V225" s="54" t="s">
        <v>1684</v>
      </c>
      <c r="W225" s="54" t="b">
        <v>0</v>
      </c>
      <c r="X225" s="54"/>
      <c r="Y225" s="57" t="s">
        <v>1908</v>
      </c>
      <c r="Z225" s="54" t="s">
        <v>1685</v>
      </c>
      <c r="AA225" s="54"/>
      <c r="AB225" s="54" t="s">
        <v>1686</v>
      </c>
      <c r="AC225" s="56" t="b">
        <v>0</v>
      </c>
      <c r="AD225" s="56" t="b">
        <v>0</v>
      </c>
      <c r="AE225" s="54" t="s">
        <v>303</v>
      </c>
      <c r="AF225" s="58">
        <v>46216</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7.4108999999999994E-2</v>
      </c>
      <c r="BC225" s="60"/>
      <c r="BD225" s="61"/>
      <c r="BE225" s="62" t="s">
        <v>293</v>
      </c>
      <c r="BF225" s="35">
        <f t="shared" si="441"/>
        <v>4.9000000000000004</v>
      </c>
      <c r="BG225" s="35">
        <f t="shared" si="441"/>
        <v>5.1461E-2</v>
      </c>
      <c r="BH225" s="35" t="str">
        <f t="shared" si="442"/>
        <v>Med</v>
      </c>
      <c r="BI225" s="110">
        <f t="shared" si="443"/>
        <v>0</v>
      </c>
      <c r="BJ225" s="83">
        <f>VLOOKUP($F225,REP_Info!$D$6:$H$250,5,FALSE)</f>
        <v>1.694</v>
      </c>
      <c r="BK225" s="30">
        <f t="shared" si="444"/>
        <v>14.526999999999997</v>
      </c>
      <c r="BL225" s="30">
        <f t="shared" si="444"/>
        <v>13.542000000000002</v>
      </c>
      <c r="BM225" s="30">
        <f t="shared" si="444"/>
        <v>13.0495</v>
      </c>
      <c r="BN225" s="29">
        <f t="shared" si="444"/>
        <v>12.885333333333332</v>
      </c>
      <c r="BO225" s="85" t="str">
        <f t="shared" si="2"/>
        <v>$$$</v>
      </c>
      <c r="BP225" s="88" t="str">
        <f t="shared" si="445"/>
        <v>$$$</v>
      </c>
      <c r="BQ225" s="88" t="str">
        <f t="shared" si="4"/>
        <v>$$$</v>
      </c>
      <c r="BR225" s="88" t="str">
        <f t="shared" si="5"/>
        <v>$$$</v>
      </c>
      <c r="BS225" s="29" t="e">
        <f t="shared" si="446"/>
        <v>#N/A</v>
      </c>
      <c r="BT225" s="29" t="e">
        <f t="shared" si="446"/>
        <v>#N/A</v>
      </c>
      <c r="BU225" s="29" t="e">
        <f t="shared" si="446"/>
        <v>#N/A</v>
      </c>
      <c r="BV225" s="29" t="e">
        <f t="shared" si="446"/>
        <v>#N/A</v>
      </c>
      <c r="BW225" s="29" t="e">
        <f t="shared" si="446"/>
        <v>#N/A</v>
      </c>
      <c r="BX225" s="29" t="e">
        <f t="shared" si="446"/>
        <v>#N/A</v>
      </c>
      <c r="BY225" s="29" t="e">
        <f t="shared" si="446"/>
        <v>#N/A</v>
      </c>
      <c r="BZ225" s="29" t="e">
        <f t="shared" si="446"/>
        <v>#N/A</v>
      </c>
      <c r="CA225" s="29" t="e">
        <f t="shared" si="446"/>
        <v>#N/A</v>
      </c>
      <c r="CB225" s="29" t="e">
        <f t="shared" si="446"/>
        <v>#N/A</v>
      </c>
      <c r="CC225" s="29" t="e">
        <f t="shared" si="446"/>
        <v>#N/A</v>
      </c>
      <c r="CD225" s="29" t="e">
        <f t="shared" si="446"/>
        <v>#N/A</v>
      </c>
      <c r="CE225" s="6" t="str">
        <f t="shared" si="197"/>
        <v/>
      </c>
      <c r="CF225" s="27" t="e">
        <f>IF(AND(CI225,NOT(AD225)),LOOKUP(CF$5,{0,750,1500},H225:J225),"")</f>
        <v>#N/A</v>
      </c>
      <c r="CG225" s="6" t="str">
        <f t="shared" si="198"/>
        <v/>
      </c>
      <c r="CH225" t="e">
        <f t="shared" si="447"/>
        <v>#N/A</v>
      </c>
      <c r="CI225" t="e">
        <f t="shared" si="448"/>
        <v>#N/A</v>
      </c>
      <c r="CJ225" s="6" t="e">
        <f t="shared" si="11"/>
        <v>#N/A</v>
      </c>
      <c r="CK225" s="6">
        <f t="shared" si="12"/>
        <v>1</v>
      </c>
      <c r="CL225" s="6">
        <f t="shared" si="26"/>
        <v>1</v>
      </c>
      <c r="CM225" s="6">
        <f t="shared" si="13"/>
        <v>1</v>
      </c>
      <c r="CN225" s="6">
        <f t="shared" si="14"/>
        <v>1</v>
      </c>
      <c r="CO225" s="6">
        <f t="shared" si="15"/>
        <v>0</v>
      </c>
      <c r="CP225" s="6">
        <f t="shared" si="16"/>
        <v>1</v>
      </c>
      <c r="CQ225" s="6">
        <f t="shared" si="449"/>
        <v>1</v>
      </c>
      <c r="CR225" s="81" t="str">
        <f t="shared" si="17"/>
        <v/>
      </c>
      <c r="CS225">
        <f t="shared" si="450"/>
        <v>0</v>
      </c>
      <c r="CT225">
        <f t="shared" si="19"/>
        <v>179</v>
      </c>
      <c r="CU225" t="str">
        <f t="shared" si="29"/>
        <v/>
      </c>
      <c r="CV225" s="81">
        <f t="shared" si="451"/>
        <v>179</v>
      </c>
      <c r="CW225" s="81">
        <f>(CV225/25)^1.5*(Calculator!$BU$4/10000)*CW$5</f>
        <v>49.47019250040988</v>
      </c>
      <c r="CX225" t="str">
        <f t="shared" si="452"/>
        <v>$179</v>
      </c>
    </row>
    <row r="226" spans="2:102" x14ac:dyDescent="0.25">
      <c r="B226" s="115" t="s">
        <v>233</v>
      </c>
      <c r="C226" s="13">
        <v>46205.794444444444</v>
      </c>
      <c r="D226">
        <v>29287</v>
      </c>
      <c r="E226" s="54" t="s">
        <v>237</v>
      </c>
      <c r="F226" s="54" t="s">
        <v>632</v>
      </c>
      <c r="G226" s="54" t="s">
        <v>1764</v>
      </c>
      <c r="H226" s="55">
        <v>13.100000000000001</v>
      </c>
      <c r="I226" s="55">
        <v>12.1</v>
      </c>
      <c r="J226" s="55">
        <v>11.700000000000001</v>
      </c>
      <c r="K226" s="54"/>
      <c r="L226" s="56" t="b">
        <v>0</v>
      </c>
      <c r="M226" s="56" t="b">
        <v>0</v>
      </c>
      <c r="N226" s="54">
        <v>0</v>
      </c>
      <c r="O226" s="54" t="s">
        <v>238</v>
      </c>
      <c r="P226" s="54">
        <v>6</v>
      </c>
      <c r="Q226" s="54">
        <v>1</v>
      </c>
      <c r="R226" s="54">
        <v>0</v>
      </c>
      <c r="S226" s="54" t="s">
        <v>1682</v>
      </c>
      <c r="T226" s="54" t="s">
        <v>1765</v>
      </c>
      <c r="U226" s="54" t="s">
        <v>1676</v>
      </c>
      <c r="V226" s="54" t="s">
        <v>1684</v>
      </c>
      <c r="W226" s="54" t="b">
        <v>0</v>
      </c>
      <c r="X226" s="54"/>
      <c r="Y226" s="57" t="s">
        <v>1815</v>
      </c>
      <c r="Z226" s="54" t="s">
        <v>1685</v>
      </c>
      <c r="AA226" s="54"/>
      <c r="AB226" s="54" t="s">
        <v>1686</v>
      </c>
      <c r="AC226" s="56" t="b">
        <v>1</v>
      </c>
      <c r="AD226" s="56" t="b">
        <v>0</v>
      </c>
      <c r="AE226" s="54"/>
      <c r="AF226" s="58"/>
      <c r="AG226" s="62" t="s">
        <v>293</v>
      </c>
      <c r="AH226" s="54"/>
      <c r="AI226" s="54"/>
      <c r="AJ226" s="54"/>
      <c r="AK226" s="54"/>
      <c r="AL226" s="54"/>
      <c r="AM226" s="54">
        <v>0</v>
      </c>
      <c r="AN226" s="54"/>
      <c r="AO226" s="54"/>
      <c r="AP226" s="54"/>
      <c r="AQ226" s="54"/>
      <c r="AR226" s="54"/>
      <c r="AS226" s="54"/>
      <c r="AT226" s="54"/>
      <c r="AU226" s="54"/>
      <c r="AV226" s="54"/>
      <c r="AW226" s="54"/>
      <c r="AX226" s="59"/>
      <c r="AY226" s="59"/>
      <c r="AZ226" s="59"/>
      <c r="BA226" s="59"/>
      <c r="BB226" s="59"/>
      <c r="BC226" s="60"/>
      <c r="BD226" s="61"/>
      <c r="BE226" s="62"/>
      <c r="BF226" s="35">
        <f t="shared" si="441"/>
        <v>4.0600000000000005</v>
      </c>
      <c r="BG226" s="35">
        <f t="shared" si="441"/>
        <v>6.0295000000000001E-2</v>
      </c>
      <c r="BH226" s="35" t="str">
        <f t="shared" si="442"/>
        <v>?</v>
      </c>
      <c r="BI226" s="110" t="str">
        <f t="shared" si="443"/>
        <v/>
      </c>
      <c r="BJ226" s="83">
        <f>VLOOKUP($F226,REP_Info!$D$6:$H$250,5,FALSE)</f>
        <v>1.694</v>
      </c>
      <c r="BK226" s="30" t="e">
        <f t="shared" si="444"/>
        <v>#N/A</v>
      </c>
      <c r="BL226" s="30" t="e">
        <f t="shared" si="444"/>
        <v>#N/A</v>
      </c>
      <c r="BM226" s="30" t="e">
        <f t="shared" si="444"/>
        <v>#N/A</v>
      </c>
      <c r="BN226" s="29" t="e">
        <f t="shared" si="444"/>
        <v>#N/A</v>
      </c>
      <c r="BO226" s="85" t="str">
        <f t="shared" si="2"/>
        <v>$$$</v>
      </c>
      <c r="BP226" s="88" t="str">
        <f t="shared" si="445"/>
        <v>$$$</v>
      </c>
      <c r="BQ226" s="88" t="str">
        <f t="shared" si="4"/>
        <v>$$$</v>
      </c>
      <c r="BR226" s="88" t="str">
        <f t="shared" si="5"/>
        <v>$$$</v>
      </c>
      <c r="BS226" s="29" t="e">
        <f t="shared" si="446"/>
        <v>#N/A</v>
      </c>
      <c r="BT226" s="29" t="e">
        <f t="shared" si="446"/>
        <v>#N/A</v>
      </c>
      <c r="BU226" s="29" t="e">
        <f t="shared" si="446"/>
        <v>#N/A</v>
      </c>
      <c r="BV226" s="29" t="e">
        <f t="shared" si="446"/>
        <v>#N/A</v>
      </c>
      <c r="BW226" s="29" t="e">
        <f t="shared" si="446"/>
        <v>#N/A</v>
      </c>
      <c r="BX226" s="29" t="e">
        <f t="shared" si="446"/>
        <v>#N/A</v>
      </c>
      <c r="BY226" s="29" t="e">
        <f t="shared" si="446"/>
        <v>#N/A</v>
      </c>
      <c r="BZ226" s="29" t="e">
        <f t="shared" si="446"/>
        <v>#N/A</v>
      </c>
      <c r="CA226" s="29" t="e">
        <f t="shared" si="446"/>
        <v>#N/A</v>
      </c>
      <c r="CB226" s="29" t="e">
        <f t="shared" si="446"/>
        <v>#N/A</v>
      </c>
      <c r="CC226" s="29" t="e">
        <f t="shared" si="446"/>
        <v>#N/A</v>
      </c>
      <c r="CD226" s="29" t="e">
        <f t="shared" si="446"/>
        <v>#N/A</v>
      </c>
      <c r="CE226" s="6" t="str">
        <f t="shared" ref="CE226:CE289" si="453">IF(ISNUMBER(CF226),RANK($CF226,$CF$8:$CF$346,1),"")</f>
        <v/>
      </c>
      <c r="CF226" s="27" t="e">
        <f>IF(AND(CI226,NOT(AD226)),LOOKUP(CF$5,{0,750,1500},H226:J226),"")</f>
        <v>#N/A</v>
      </c>
      <c r="CG226" s="6" t="str">
        <f t="shared" ref="CG226:CG289" si="454">IF(ISNUMBER(CH226),RANK($CH226,$CH$8:$CH$346,1),"")</f>
        <v/>
      </c>
      <c r="CH226" t="e">
        <f t="shared" si="447"/>
        <v>#N/A</v>
      </c>
      <c r="CI226" t="e">
        <f t="shared" si="448"/>
        <v>#N/A</v>
      </c>
      <c r="CJ226" s="6" t="e">
        <f t="shared" si="11"/>
        <v>#N/A</v>
      </c>
      <c r="CK226" s="6">
        <f t="shared" si="12"/>
        <v>1</v>
      </c>
      <c r="CL226" s="6">
        <f t="shared" si="26"/>
        <v>1</v>
      </c>
      <c r="CM226" s="6">
        <f t="shared" si="13"/>
        <v>0</v>
      </c>
      <c r="CN226" s="6">
        <f t="shared" si="14"/>
        <v>0</v>
      </c>
      <c r="CO226" s="6">
        <f t="shared" si="15"/>
        <v>1</v>
      </c>
      <c r="CP226" s="6">
        <f t="shared" si="16"/>
        <v>1</v>
      </c>
      <c r="CQ226" s="6">
        <f t="shared" si="449"/>
        <v>1</v>
      </c>
      <c r="CR226" s="81" t="str">
        <f t="shared" si="17"/>
        <v/>
      </c>
      <c r="CS226">
        <f t="shared" si="450"/>
        <v>198</v>
      </c>
      <c r="CT226">
        <f t="shared" si="19"/>
        <v>0</v>
      </c>
      <c r="CU226" t="str">
        <f t="shared" si="29"/>
        <v/>
      </c>
      <c r="CV226" s="81">
        <f t="shared" si="451"/>
        <v>0</v>
      </c>
      <c r="CW226" s="81">
        <f>(CV226/25)^1.5*(Calculator!$BU$4/10000)*CW$5</f>
        <v>0</v>
      </c>
      <c r="CX226" t="str">
        <f t="shared" si="452"/>
        <v>$0</v>
      </c>
    </row>
    <row r="227" spans="2:102" x14ac:dyDescent="0.25">
      <c r="B227" s="115" t="s">
        <v>233</v>
      </c>
      <c r="C227" s="13">
        <v>46205.794444444444</v>
      </c>
      <c r="D227">
        <v>29288</v>
      </c>
      <c r="E227" s="54" t="s">
        <v>235</v>
      </c>
      <c r="F227" s="54" t="s">
        <v>632</v>
      </c>
      <c r="G227" s="54" t="s">
        <v>1764</v>
      </c>
      <c r="H227" s="55">
        <v>12.2</v>
      </c>
      <c r="I227" s="55">
        <v>11.200000000000001</v>
      </c>
      <c r="J227" s="55">
        <v>10.8</v>
      </c>
      <c r="K227" s="54"/>
      <c r="L227" s="56" t="b">
        <v>0</v>
      </c>
      <c r="M227" s="56" t="b">
        <v>0</v>
      </c>
      <c r="N227" s="54">
        <v>0</v>
      </c>
      <c r="O227" s="54" t="s">
        <v>238</v>
      </c>
      <c r="P227" s="54">
        <v>6</v>
      </c>
      <c r="Q227" s="54">
        <v>1</v>
      </c>
      <c r="R227" s="54">
        <v>0</v>
      </c>
      <c r="S227" s="54" t="s">
        <v>1682</v>
      </c>
      <c r="T227" s="54" t="s">
        <v>1765</v>
      </c>
      <c r="U227" s="54" t="s">
        <v>1676</v>
      </c>
      <c r="V227" s="54" t="s">
        <v>1684</v>
      </c>
      <c r="W227" s="54" t="b">
        <v>0</v>
      </c>
      <c r="X227" s="54"/>
      <c r="Y227" s="57" t="s">
        <v>1816</v>
      </c>
      <c r="Z227" s="54" t="s">
        <v>1685</v>
      </c>
      <c r="AA227" s="54"/>
      <c r="AB227" s="54" t="s">
        <v>1686</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si="441"/>
        <v>4.9000000000000004</v>
      </c>
      <c r="BG227" s="35">
        <f t="shared" si="441"/>
        <v>5.1461E-2</v>
      </c>
      <c r="BH227" s="35" t="str">
        <f t="shared" si="442"/>
        <v>?</v>
      </c>
      <c r="BI227" s="110" t="str">
        <f t="shared" si="443"/>
        <v/>
      </c>
      <c r="BJ227" s="83">
        <f>VLOOKUP($F227,REP_Info!$D$6:$H$250,5,FALSE)</f>
        <v>1.694</v>
      </c>
      <c r="BK227" s="30" t="e">
        <f t="shared" si="444"/>
        <v>#N/A</v>
      </c>
      <c r="BL227" s="30" t="e">
        <f t="shared" si="444"/>
        <v>#N/A</v>
      </c>
      <c r="BM227" s="30" t="e">
        <f t="shared" si="444"/>
        <v>#N/A</v>
      </c>
      <c r="BN227" s="29" t="e">
        <f t="shared" si="444"/>
        <v>#N/A</v>
      </c>
      <c r="BO227" s="85" t="str">
        <f t="shared" si="2"/>
        <v>$$$</v>
      </c>
      <c r="BP227" s="88" t="str">
        <f t="shared" si="445"/>
        <v>$$$</v>
      </c>
      <c r="BQ227" s="88" t="str">
        <f t="shared" si="4"/>
        <v>$$$</v>
      </c>
      <c r="BR227" s="88" t="str">
        <f t="shared" si="5"/>
        <v>$$$</v>
      </c>
      <c r="BS227" s="29" t="e">
        <f t="shared" si="446"/>
        <v>#N/A</v>
      </c>
      <c r="BT227" s="29" t="e">
        <f t="shared" si="446"/>
        <v>#N/A</v>
      </c>
      <c r="BU227" s="29" t="e">
        <f t="shared" si="446"/>
        <v>#N/A</v>
      </c>
      <c r="BV227" s="29" t="e">
        <f t="shared" si="446"/>
        <v>#N/A</v>
      </c>
      <c r="BW227" s="29" t="e">
        <f t="shared" si="446"/>
        <v>#N/A</v>
      </c>
      <c r="BX227" s="29" t="e">
        <f t="shared" si="446"/>
        <v>#N/A</v>
      </c>
      <c r="BY227" s="29" t="e">
        <f t="shared" si="446"/>
        <v>#N/A</v>
      </c>
      <c r="BZ227" s="29" t="e">
        <f t="shared" si="446"/>
        <v>#N/A</v>
      </c>
      <c r="CA227" s="29" t="e">
        <f t="shared" si="446"/>
        <v>#N/A</v>
      </c>
      <c r="CB227" s="29" t="e">
        <f t="shared" si="446"/>
        <v>#N/A</v>
      </c>
      <c r="CC227" s="29" t="e">
        <f t="shared" si="446"/>
        <v>#N/A</v>
      </c>
      <c r="CD227" s="29" t="e">
        <f t="shared" si="446"/>
        <v>#N/A</v>
      </c>
      <c r="CE227" s="6" t="str">
        <f t="shared" si="453"/>
        <v/>
      </c>
      <c r="CF227" s="27" t="e">
        <f>IF(AND(CI227,NOT(AD227)),LOOKUP(CF$5,{0,750,1500},H227:J227),"")</f>
        <v>#N/A</v>
      </c>
      <c r="CG227" s="6" t="str">
        <f t="shared" si="454"/>
        <v/>
      </c>
      <c r="CH227" t="e">
        <f t="shared" si="447"/>
        <v>#N/A</v>
      </c>
      <c r="CI227" t="e">
        <f t="shared" si="448"/>
        <v>#N/A</v>
      </c>
      <c r="CJ227" s="6" t="e">
        <f t="shared" si="11"/>
        <v>#N/A</v>
      </c>
      <c r="CK227" s="6">
        <f t="shared" si="12"/>
        <v>1</v>
      </c>
      <c r="CL227" s="6">
        <f t="shared" si="26"/>
        <v>1</v>
      </c>
      <c r="CM227" s="6">
        <f t="shared" si="13"/>
        <v>0</v>
      </c>
      <c r="CN227" s="6">
        <f t="shared" si="14"/>
        <v>0</v>
      </c>
      <c r="CO227" s="6">
        <f t="shared" si="15"/>
        <v>1</v>
      </c>
      <c r="CP227" s="6">
        <f t="shared" si="16"/>
        <v>1</v>
      </c>
      <c r="CQ227" s="6">
        <f t="shared" si="449"/>
        <v>1</v>
      </c>
      <c r="CR227" s="81" t="str">
        <f t="shared" si="17"/>
        <v/>
      </c>
      <c r="CS227">
        <f t="shared" si="450"/>
        <v>198</v>
      </c>
      <c r="CT227">
        <f t="shared" si="19"/>
        <v>0</v>
      </c>
      <c r="CU227" t="str">
        <f t="shared" si="29"/>
        <v/>
      </c>
      <c r="CV227" s="81">
        <f t="shared" si="451"/>
        <v>0</v>
      </c>
      <c r="CW227" s="81">
        <f>(CV227/25)^1.5*(Calculator!$BU$4/10000)*CW$5</f>
        <v>0</v>
      </c>
      <c r="CX227" t="str">
        <f t="shared" si="452"/>
        <v>$0</v>
      </c>
    </row>
    <row r="228" spans="2:102" x14ac:dyDescent="0.25">
      <c r="B228" s="115" t="s">
        <v>233</v>
      </c>
      <c r="C228" s="13">
        <v>46237.767361111109</v>
      </c>
      <c r="D228">
        <v>19786</v>
      </c>
      <c r="E228" s="54" t="s">
        <v>237</v>
      </c>
      <c r="F228" s="54" t="s">
        <v>633</v>
      </c>
      <c r="G228" s="54" t="s">
        <v>634</v>
      </c>
      <c r="H228" s="55">
        <v>19.2</v>
      </c>
      <c r="I228" s="55">
        <v>18.3</v>
      </c>
      <c r="J228" s="55">
        <v>17.899999999999999</v>
      </c>
      <c r="K228" s="54"/>
      <c r="L228" s="56" t="b">
        <v>0</v>
      </c>
      <c r="M228" s="56" t="b">
        <v>0</v>
      </c>
      <c r="N228" s="54">
        <v>0</v>
      </c>
      <c r="O228" s="54" t="s">
        <v>238</v>
      </c>
      <c r="P228" s="54">
        <v>24</v>
      </c>
      <c r="Q228" s="54">
        <v>0</v>
      </c>
      <c r="R228" s="54">
        <v>0</v>
      </c>
      <c r="S228" s="54" t="s">
        <v>635</v>
      </c>
      <c r="T228" s="54" t="s">
        <v>636</v>
      </c>
      <c r="U228" s="54" t="s">
        <v>637</v>
      </c>
      <c r="V228" s="54" t="s">
        <v>638</v>
      </c>
      <c r="W228" s="54" t="b">
        <v>0</v>
      </c>
      <c r="X228" s="54"/>
      <c r="Y228" s="57" t="s">
        <v>2291</v>
      </c>
      <c r="Z228" s="54" t="s">
        <v>2292</v>
      </c>
      <c r="AA228" s="54"/>
      <c r="AB228" s="54" t="s">
        <v>639</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41"/>
        <v>4.0600000000000005</v>
      </c>
      <c r="BG228" s="35">
        <f t="shared" si="441"/>
        <v>6.0295000000000001E-2</v>
      </c>
      <c r="BH228" s="35" t="str">
        <f t="shared" si="442"/>
        <v>?</v>
      </c>
      <c r="BI228" s="110" t="str">
        <f t="shared" si="443"/>
        <v/>
      </c>
      <c r="BJ228" s="83">
        <f>VLOOKUP($F228,REP_Info!$D$6:$H$250,5,FALSE)</f>
        <v>0.53900000000000003</v>
      </c>
      <c r="BK228" s="30" t="e">
        <f t="shared" si="444"/>
        <v>#N/A</v>
      </c>
      <c r="BL228" s="30" t="e">
        <f t="shared" si="444"/>
        <v>#N/A</v>
      </c>
      <c r="BM228" s="30" t="e">
        <f t="shared" si="444"/>
        <v>#N/A</v>
      </c>
      <c r="BN228" s="29" t="e">
        <f t="shared" si="444"/>
        <v>#N/A</v>
      </c>
      <c r="BO228" s="85" t="str">
        <f t="shared" si="2"/>
        <v>$$$</v>
      </c>
      <c r="BP228" s="88" t="str">
        <f t="shared" si="445"/>
        <v>$$$</v>
      </c>
      <c r="BQ228" s="88" t="str">
        <f t="shared" si="4"/>
        <v>$$$</v>
      </c>
      <c r="BR228" s="88" t="str">
        <f t="shared" si="5"/>
        <v>$$$</v>
      </c>
      <c r="BS228" s="29" t="e">
        <f t="shared" si="446"/>
        <v>#N/A</v>
      </c>
      <c r="BT228" s="29" t="e">
        <f t="shared" si="446"/>
        <v>#N/A</v>
      </c>
      <c r="BU228" s="29" t="e">
        <f t="shared" si="446"/>
        <v>#N/A</v>
      </c>
      <c r="BV228" s="29" t="e">
        <f t="shared" si="446"/>
        <v>#N/A</v>
      </c>
      <c r="BW228" s="29" t="e">
        <f t="shared" si="446"/>
        <v>#N/A</v>
      </c>
      <c r="BX228" s="29" t="e">
        <f t="shared" si="446"/>
        <v>#N/A</v>
      </c>
      <c r="BY228" s="29" t="e">
        <f t="shared" si="446"/>
        <v>#N/A</v>
      </c>
      <c r="BZ228" s="29" t="e">
        <f t="shared" si="446"/>
        <v>#N/A</v>
      </c>
      <c r="CA228" s="29" t="e">
        <f t="shared" si="446"/>
        <v>#N/A</v>
      </c>
      <c r="CB228" s="29" t="e">
        <f t="shared" si="446"/>
        <v>#N/A</v>
      </c>
      <c r="CC228" s="29" t="e">
        <f t="shared" si="446"/>
        <v>#N/A</v>
      </c>
      <c r="CD228" s="29" t="e">
        <f t="shared" si="446"/>
        <v>#N/A</v>
      </c>
      <c r="CE228" s="6" t="str">
        <f t="shared" si="453"/>
        <v/>
      </c>
      <c r="CF228" s="27" t="e">
        <f>IF(AND(CI228,NOT(AD228)),LOOKUP(CF$5,{0,750,1500},H228:J228),"")</f>
        <v>#N/A</v>
      </c>
      <c r="CG228" s="6" t="str">
        <f t="shared" si="454"/>
        <v/>
      </c>
      <c r="CH228" t="e">
        <f t="shared" si="447"/>
        <v>#N/A</v>
      </c>
      <c r="CI228" t="e">
        <f t="shared" si="448"/>
        <v>#N/A</v>
      </c>
      <c r="CJ228" s="6" t="e">
        <f t="shared" si="11"/>
        <v>#N/A</v>
      </c>
      <c r="CK228" s="6">
        <f t="shared" si="12"/>
        <v>1</v>
      </c>
      <c r="CL228" s="6">
        <f t="shared" si="26"/>
        <v>1</v>
      </c>
      <c r="CM228" s="6">
        <f t="shared" si="13"/>
        <v>0</v>
      </c>
      <c r="CN228" s="6">
        <f t="shared" si="14"/>
        <v>0</v>
      </c>
      <c r="CO228" s="6">
        <f t="shared" si="15"/>
        <v>1</v>
      </c>
      <c r="CP228" s="6">
        <f t="shared" si="16"/>
        <v>1</v>
      </c>
      <c r="CQ228" s="6">
        <f t="shared" si="449"/>
        <v>1</v>
      </c>
      <c r="CR228" s="81" t="str">
        <f t="shared" si="17"/>
        <v/>
      </c>
      <c r="CS228" t="e">
        <f t="shared" si="450"/>
        <v>#DIV/0!</v>
      </c>
      <c r="CT228">
        <f t="shared" si="19"/>
        <v>0</v>
      </c>
      <c r="CU228" t="str">
        <f t="shared" si="29"/>
        <v/>
      </c>
      <c r="CV228" s="81">
        <f t="shared" si="451"/>
        <v>0</v>
      </c>
      <c r="CW228" s="81">
        <f>(CV228/25)^1.5*(Calculator!$BU$4/10000)*CW$5</f>
        <v>0</v>
      </c>
      <c r="CX228" t="str">
        <f t="shared" si="452"/>
        <v>$0</v>
      </c>
    </row>
    <row r="229" spans="2:102" x14ac:dyDescent="0.25">
      <c r="B229" s="115" t="s">
        <v>233</v>
      </c>
      <c r="C229" s="13">
        <v>46174.569444444445</v>
      </c>
      <c r="D229">
        <v>22787</v>
      </c>
      <c r="E229" s="54" t="s">
        <v>235</v>
      </c>
      <c r="F229" s="54" t="s">
        <v>633</v>
      </c>
      <c r="G229" s="54" t="s">
        <v>634</v>
      </c>
      <c r="H229" s="55">
        <v>19.100000000000001</v>
      </c>
      <c r="I229" s="55">
        <v>18.099999999999998</v>
      </c>
      <c r="J229" s="55">
        <v>17.599999999999998</v>
      </c>
      <c r="K229" s="54"/>
      <c r="L229" s="56" t="b">
        <v>0</v>
      </c>
      <c r="M229" s="56" t="b">
        <v>0</v>
      </c>
      <c r="N229" s="54">
        <v>0</v>
      </c>
      <c r="O229" s="54" t="s">
        <v>238</v>
      </c>
      <c r="P229" s="54">
        <v>24</v>
      </c>
      <c r="Q229" s="54">
        <v>0</v>
      </c>
      <c r="R229" s="54">
        <v>0</v>
      </c>
      <c r="S229" s="54" t="s">
        <v>635</v>
      </c>
      <c r="T229" s="54" t="s">
        <v>636</v>
      </c>
      <c r="U229" s="54" t="s">
        <v>637</v>
      </c>
      <c r="V229" s="54" t="s">
        <v>638</v>
      </c>
      <c r="W229" s="54" t="b">
        <v>0</v>
      </c>
      <c r="X229" s="54"/>
      <c r="Y229" s="57" t="s">
        <v>1670</v>
      </c>
      <c r="Z229" s="54" t="s">
        <v>640</v>
      </c>
      <c r="AA229" s="54"/>
      <c r="AB229" s="54" t="s">
        <v>639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41"/>
        <v>4.9000000000000004</v>
      </c>
      <c r="BG229" s="35">
        <f t="shared" si="441"/>
        <v>5.1461E-2</v>
      </c>
      <c r="BH229" s="35" t="str">
        <f t="shared" si="442"/>
        <v>?</v>
      </c>
      <c r="BI229" s="110" t="str">
        <f t="shared" si="443"/>
        <v/>
      </c>
      <c r="BJ229" s="83">
        <f>VLOOKUP($F229,REP_Info!$D$6:$H$250,5,FALSE)</f>
        <v>0.53900000000000003</v>
      </c>
      <c r="BK229" s="30" t="e">
        <f t="shared" si="444"/>
        <v>#N/A</v>
      </c>
      <c r="BL229" s="30" t="e">
        <f t="shared" si="444"/>
        <v>#N/A</v>
      </c>
      <c r="BM229" s="30" t="e">
        <f t="shared" si="444"/>
        <v>#N/A</v>
      </c>
      <c r="BN229" s="29" t="e">
        <f t="shared" si="444"/>
        <v>#N/A</v>
      </c>
      <c r="BO229" s="85" t="str">
        <f t="shared" si="2"/>
        <v>$$$</v>
      </c>
      <c r="BP229" s="88" t="str">
        <f t="shared" si="445"/>
        <v>$$$</v>
      </c>
      <c r="BQ229" s="88" t="str">
        <f t="shared" si="4"/>
        <v>$$$</v>
      </c>
      <c r="BR229" s="88" t="str">
        <f t="shared" si="5"/>
        <v>$$$</v>
      </c>
      <c r="BS229" s="29" t="e">
        <f t="shared" si="446"/>
        <v>#N/A</v>
      </c>
      <c r="BT229" s="29" t="e">
        <f t="shared" si="446"/>
        <v>#N/A</v>
      </c>
      <c r="BU229" s="29" t="e">
        <f t="shared" si="446"/>
        <v>#N/A</v>
      </c>
      <c r="BV229" s="29" t="e">
        <f t="shared" si="446"/>
        <v>#N/A</v>
      </c>
      <c r="BW229" s="29" t="e">
        <f t="shared" si="446"/>
        <v>#N/A</v>
      </c>
      <c r="BX229" s="29" t="e">
        <f t="shared" si="446"/>
        <v>#N/A</v>
      </c>
      <c r="BY229" s="29" t="e">
        <f t="shared" si="446"/>
        <v>#N/A</v>
      </c>
      <c r="BZ229" s="29" t="e">
        <f t="shared" si="446"/>
        <v>#N/A</v>
      </c>
      <c r="CA229" s="29" t="e">
        <f t="shared" si="446"/>
        <v>#N/A</v>
      </c>
      <c r="CB229" s="29" t="e">
        <f t="shared" si="446"/>
        <v>#N/A</v>
      </c>
      <c r="CC229" s="29" t="e">
        <f t="shared" si="446"/>
        <v>#N/A</v>
      </c>
      <c r="CD229" s="29" t="e">
        <f t="shared" si="446"/>
        <v>#N/A</v>
      </c>
      <c r="CE229" s="6" t="str">
        <f t="shared" si="453"/>
        <v/>
      </c>
      <c r="CF229" s="27" t="e">
        <f>IF(AND(CI229,NOT(AD229)),LOOKUP(CF$5,{0,750,1500},H229:J229),"")</f>
        <v>#N/A</v>
      </c>
      <c r="CG229" s="6" t="str">
        <f t="shared" si="454"/>
        <v/>
      </c>
      <c r="CH229" t="e">
        <f t="shared" si="447"/>
        <v>#N/A</v>
      </c>
      <c r="CI229" t="e">
        <f t="shared" si="448"/>
        <v>#N/A</v>
      </c>
      <c r="CJ229" s="6" t="e">
        <f t="shared" si="11"/>
        <v>#N/A</v>
      </c>
      <c r="CK229" s="6">
        <f t="shared" si="12"/>
        <v>1</v>
      </c>
      <c r="CL229" s="6">
        <f t="shared" si="26"/>
        <v>1</v>
      </c>
      <c r="CM229" s="6">
        <f t="shared" si="13"/>
        <v>0</v>
      </c>
      <c r="CN229" s="6">
        <f t="shared" si="14"/>
        <v>0</v>
      </c>
      <c r="CO229" s="6">
        <f t="shared" si="15"/>
        <v>1</v>
      </c>
      <c r="CP229" s="6">
        <f t="shared" si="16"/>
        <v>1</v>
      </c>
      <c r="CQ229" s="6">
        <f t="shared" si="449"/>
        <v>1</v>
      </c>
      <c r="CR229" s="81" t="str">
        <f t="shared" si="17"/>
        <v/>
      </c>
      <c r="CS229" t="e">
        <f t="shared" si="450"/>
        <v>#DIV/0!</v>
      </c>
      <c r="CT229">
        <f t="shared" si="19"/>
        <v>0</v>
      </c>
      <c r="CU229" t="str">
        <f t="shared" si="29"/>
        <v/>
      </c>
      <c r="CV229" s="81">
        <f t="shared" si="451"/>
        <v>0</v>
      </c>
      <c r="CW229" s="81">
        <f>(CV229/25)^1.5*(Calculator!$BU$4/10000)*CW$5</f>
        <v>0</v>
      </c>
      <c r="CX229" t="str">
        <f t="shared" si="452"/>
        <v>$0</v>
      </c>
    </row>
    <row r="230" spans="2:102" x14ac:dyDescent="0.25">
      <c r="B230" s="115" t="s">
        <v>233</v>
      </c>
      <c r="C230" s="13">
        <v>46174.569444444445</v>
      </c>
      <c r="D230">
        <v>24816</v>
      </c>
      <c r="E230" s="54" t="s">
        <v>235</v>
      </c>
      <c r="F230" s="54" t="s">
        <v>633</v>
      </c>
      <c r="G230" s="54" t="s">
        <v>641</v>
      </c>
      <c r="H230" s="55">
        <v>16</v>
      </c>
      <c r="I230" s="55">
        <v>15</v>
      </c>
      <c r="J230" s="55">
        <v>14.499999999999998</v>
      </c>
      <c r="K230" s="54"/>
      <c r="L230" s="56" t="b">
        <v>0</v>
      </c>
      <c r="M230" s="56" t="b">
        <v>0</v>
      </c>
      <c r="N230" s="54">
        <v>1</v>
      </c>
      <c r="O230" s="54" t="s">
        <v>228</v>
      </c>
      <c r="P230" s="54">
        <v>24</v>
      </c>
      <c r="Q230" s="54">
        <v>24</v>
      </c>
      <c r="R230" s="54">
        <v>295</v>
      </c>
      <c r="S230" s="54" t="s">
        <v>635</v>
      </c>
      <c r="T230" s="54" t="s">
        <v>642</v>
      </c>
      <c r="U230" s="54" t="s">
        <v>637</v>
      </c>
      <c r="V230" s="54" t="s">
        <v>638</v>
      </c>
      <c r="W230" s="54" t="b">
        <v>0</v>
      </c>
      <c r="X230" s="54"/>
      <c r="Y230" s="57" t="s">
        <v>1671</v>
      </c>
      <c r="Z230" s="54" t="s">
        <v>640</v>
      </c>
      <c r="AA230" s="54"/>
      <c r="AB230" s="54" t="s">
        <v>639</v>
      </c>
      <c r="AC230" s="56" t="b">
        <v>1</v>
      </c>
      <c r="AD230" s="56" t="b">
        <v>0</v>
      </c>
      <c r="AE230" s="54" t="s">
        <v>303</v>
      </c>
      <c r="AF230" s="58">
        <v>46174</v>
      </c>
      <c r="AG230" s="62" t="s">
        <v>293</v>
      </c>
      <c r="AH230" s="54">
        <v>0</v>
      </c>
      <c r="AI230" s="54"/>
      <c r="AJ230" s="54"/>
      <c r="AK230" s="54"/>
      <c r="AL230" s="54"/>
      <c r="AM230" s="54">
        <v>5</v>
      </c>
      <c r="AN230" s="54"/>
      <c r="AO230" s="54"/>
      <c r="AP230" s="54"/>
      <c r="AQ230" s="54"/>
      <c r="AR230" s="54"/>
      <c r="AS230" s="54"/>
      <c r="AT230" s="54"/>
      <c r="AU230" s="54"/>
      <c r="AV230" s="54"/>
      <c r="AW230" s="54"/>
      <c r="AX230" s="59"/>
      <c r="AY230" s="59"/>
      <c r="AZ230" s="59"/>
      <c r="BA230" s="59"/>
      <c r="BB230" s="59">
        <v>8.8555999999999996E-2</v>
      </c>
      <c r="BC230" s="60">
        <v>4.9000000000000004</v>
      </c>
      <c r="BD230" s="61">
        <v>5.1461E-2</v>
      </c>
      <c r="BE230" s="62" t="s">
        <v>293</v>
      </c>
      <c r="BF230" s="35">
        <f t="shared" si="441"/>
        <v>4.9000000000000004</v>
      </c>
      <c r="BG230" s="35">
        <f t="shared" si="441"/>
        <v>5.1461E-2</v>
      </c>
      <c r="BH230" s="35" t="str">
        <f t="shared" si="442"/>
        <v>Med</v>
      </c>
      <c r="BI230" s="110">
        <f t="shared" si="443"/>
        <v>0</v>
      </c>
      <c r="BJ230" s="83">
        <f>VLOOKUP($F230,REP_Info!$D$6:$H$250,5,FALSE)</f>
        <v>0.53900000000000003</v>
      </c>
      <c r="BK230" s="30">
        <f t="shared" si="444"/>
        <v>15.9817</v>
      </c>
      <c r="BL230" s="30">
        <f t="shared" si="444"/>
        <v>14.991700000000002</v>
      </c>
      <c r="BM230" s="30">
        <f t="shared" si="444"/>
        <v>14.496699999999999</v>
      </c>
      <c r="BN230" s="29">
        <f t="shared" si="444"/>
        <v>14.331700000000001</v>
      </c>
      <c r="BO230" s="85" t="str">
        <f t="shared" si="2"/>
        <v>$$$</v>
      </c>
      <c r="BP230" s="88" t="str">
        <f t="shared" si="445"/>
        <v>$$$</v>
      </c>
      <c r="BQ230" s="88" t="str">
        <f t="shared" si="4"/>
        <v>$$$</v>
      </c>
      <c r="BR230" s="88" t="str">
        <f t="shared" si="5"/>
        <v>$$$</v>
      </c>
      <c r="BS230" s="29" t="e">
        <f t="shared" si="446"/>
        <v>#N/A</v>
      </c>
      <c r="BT230" s="29" t="e">
        <f t="shared" si="446"/>
        <v>#N/A</v>
      </c>
      <c r="BU230" s="29" t="e">
        <f t="shared" si="446"/>
        <v>#N/A</v>
      </c>
      <c r="BV230" s="29" t="e">
        <f t="shared" si="446"/>
        <v>#N/A</v>
      </c>
      <c r="BW230" s="29" t="e">
        <f t="shared" si="446"/>
        <v>#N/A</v>
      </c>
      <c r="BX230" s="29" t="e">
        <f t="shared" si="446"/>
        <v>#N/A</v>
      </c>
      <c r="BY230" s="29" t="e">
        <f t="shared" si="446"/>
        <v>#N/A</v>
      </c>
      <c r="BZ230" s="29" t="e">
        <f t="shared" si="446"/>
        <v>#N/A</v>
      </c>
      <c r="CA230" s="29" t="e">
        <f t="shared" si="446"/>
        <v>#N/A</v>
      </c>
      <c r="CB230" s="29" t="e">
        <f t="shared" si="446"/>
        <v>#N/A</v>
      </c>
      <c r="CC230" s="29" t="e">
        <f t="shared" si="446"/>
        <v>#N/A</v>
      </c>
      <c r="CD230" s="29" t="e">
        <f t="shared" si="446"/>
        <v>#N/A</v>
      </c>
      <c r="CE230" s="6" t="str">
        <f t="shared" si="453"/>
        <v/>
      </c>
      <c r="CF230" s="27" t="e">
        <f>IF(AND(CI230,NOT(AD230)),LOOKUP(CF$5,{0,750,1500},H230:J230),"")</f>
        <v>#N/A</v>
      </c>
      <c r="CG230" s="6" t="str">
        <f t="shared" si="454"/>
        <v/>
      </c>
      <c r="CH230" t="e">
        <f t="shared" si="447"/>
        <v>#N/A</v>
      </c>
      <c r="CI230" t="e">
        <f t="shared" si="448"/>
        <v>#N/A</v>
      </c>
      <c r="CJ230" s="6" t="e">
        <f t="shared" si="11"/>
        <v>#N/A</v>
      </c>
      <c r="CK230" s="6">
        <f t="shared" si="12"/>
        <v>1</v>
      </c>
      <c r="CL230" s="6">
        <f t="shared" si="26"/>
        <v>1</v>
      </c>
      <c r="CM230" s="6">
        <f t="shared" si="13"/>
        <v>1</v>
      </c>
      <c r="CN230" s="6">
        <f t="shared" si="14"/>
        <v>1</v>
      </c>
      <c r="CO230" s="6">
        <f t="shared" si="15"/>
        <v>0</v>
      </c>
      <c r="CP230" s="6">
        <f t="shared" si="16"/>
        <v>1</v>
      </c>
      <c r="CQ230" s="6">
        <f t="shared" si="449"/>
        <v>1</v>
      </c>
      <c r="CR230" s="81" t="str">
        <f t="shared" si="17"/>
        <v/>
      </c>
      <c r="CS230">
        <f t="shared" si="450"/>
        <v>0</v>
      </c>
      <c r="CT230">
        <f t="shared" si="19"/>
        <v>295</v>
      </c>
      <c r="CU230" t="str">
        <f t="shared" si="29"/>
        <v/>
      </c>
      <c r="CV230" s="81">
        <f t="shared" si="451"/>
        <v>295</v>
      </c>
      <c r="CW230" s="81">
        <f>(CV230/25)^1.5*(Calculator!$BU$4/10000)*CW$5</f>
        <v>104.66393961177546</v>
      </c>
      <c r="CX230" t="str">
        <f t="shared" si="452"/>
        <v>$295</v>
      </c>
    </row>
    <row r="231" spans="2:102" x14ac:dyDescent="0.25">
      <c r="B231" s="115" t="s">
        <v>233</v>
      </c>
      <c r="C231" s="13">
        <v>46237.767361111109</v>
      </c>
      <c r="D231">
        <v>24818</v>
      </c>
      <c r="E231" s="54" t="s">
        <v>237</v>
      </c>
      <c r="F231" s="54" t="s">
        <v>633</v>
      </c>
      <c r="G231" s="54" t="s">
        <v>641</v>
      </c>
      <c r="H231" s="55">
        <v>16.8</v>
      </c>
      <c r="I231" s="55">
        <v>15.9</v>
      </c>
      <c r="J231" s="55">
        <v>15.5</v>
      </c>
      <c r="K231" s="54"/>
      <c r="L231" s="56" t="b">
        <v>0</v>
      </c>
      <c r="M231" s="56" t="b">
        <v>0</v>
      </c>
      <c r="N231" s="54">
        <v>1</v>
      </c>
      <c r="O231" s="54" t="s">
        <v>228</v>
      </c>
      <c r="P231" s="54">
        <v>24</v>
      </c>
      <c r="Q231" s="54">
        <v>24</v>
      </c>
      <c r="R231" s="54">
        <v>295</v>
      </c>
      <c r="S231" s="54" t="s">
        <v>635</v>
      </c>
      <c r="T231" s="54" t="s">
        <v>642</v>
      </c>
      <c r="U231" s="54" t="s">
        <v>637</v>
      </c>
      <c r="V231" s="54" t="s">
        <v>638</v>
      </c>
      <c r="W231" s="54" t="b">
        <v>0</v>
      </c>
      <c r="X231" s="54"/>
      <c r="Y231" s="57" t="s">
        <v>2293</v>
      </c>
      <c r="Z231" s="54" t="s">
        <v>2292</v>
      </c>
      <c r="AA231" s="54"/>
      <c r="AB231" s="54" t="s">
        <v>639</v>
      </c>
      <c r="AC231" s="56" t="b">
        <v>1</v>
      </c>
      <c r="AD231" s="56" t="b">
        <v>0</v>
      </c>
      <c r="AE231" s="54" t="s">
        <v>303</v>
      </c>
      <c r="AF231" s="58">
        <v>46235</v>
      </c>
      <c r="AG231" s="62" t="s">
        <v>293</v>
      </c>
      <c r="AH231" s="54">
        <v>0</v>
      </c>
      <c r="AI231" s="54"/>
      <c r="AJ231" s="54"/>
      <c r="AK231" s="54"/>
      <c r="AL231" s="54"/>
      <c r="AM231" s="54">
        <v>5</v>
      </c>
      <c r="AN231" s="54"/>
      <c r="AO231" s="54"/>
      <c r="AP231" s="54"/>
      <c r="AQ231" s="54"/>
      <c r="AR231" s="54"/>
      <c r="AS231" s="54"/>
      <c r="AT231" s="54"/>
      <c r="AU231" s="54"/>
      <c r="AV231" s="54"/>
      <c r="AW231" s="54"/>
      <c r="AX231" s="59"/>
      <c r="AY231" s="59"/>
      <c r="AZ231" s="59"/>
      <c r="BA231" s="59"/>
      <c r="BB231" s="59">
        <v>8.9701000000000003E-2</v>
      </c>
      <c r="BC231" s="60">
        <v>4.0599999999999996</v>
      </c>
      <c r="BD231" s="61">
        <v>6.0295000000000001E-2</v>
      </c>
      <c r="BE231" s="62" t="s">
        <v>293</v>
      </c>
      <c r="BF231" s="35">
        <f t="shared" si="0"/>
        <v>4.0600000000000005</v>
      </c>
      <c r="BG231" s="35">
        <f t="shared" si="0"/>
        <v>6.0295000000000001E-2</v>
      </c>
      <c r="BH231" s="35" t="str">
        <f t="shared" ref="BH231:BH234" si="455">IF(ISTEXT(BE231),IF(AND(AV231=0,SUM(AN231:AQ231)=0),IF(AM231&lt;=0,IF(BE231="Y","Low","Flat"),"Med"),"High"),"?")</f>
        <v>Med</v>
      </c>
      <c r="BI231" s="110">
        <f t="shared" ref="BI231:BI234" si="456">IF(ISNUMBER(AH231),0*BI$5*SIN((EDATE($A$3,$Q231)-DATE(YEAR(EDATE($A$3,$Q231)),1,0)-BI$4)*2*PI()/365),"")</f>
        <v>0</v>
      </c>
      <c r="BJ231" s="83">
        <f>VLOOKUP($F231,REP_Info!$D$6:$H$250,5,FALSE)</f>
        <v>0.53900000000000003</v>
      </c>
      <c r="BK231" s="30">
        <f t="shared" ref="BK231:BN234" si="457">IF(BK$7&gt;0,(LOOKUP(BK$7,$AH231:$AL231,$AM231:$AQ231)+IF($AG231="Y",SUMPRODUCT($AX231:$BB231-$AW231:$BA231,BK$7-$AR231:$AV231,N(BK$7&gt;$AR231:$AV231)),BK$7*LOOKUP(BK$7,$AR231:$AV231,$AX231:$BB231))+IF($BE231="Y",$BF231,$BC231)+BK$7*IF($BE231="Y",$BG231,$BD231))*100/BK$7,"")</f>
        <v>16.811600000000002</v>
      </c>
      <c r="BL231" s="30">
        <f t="shared" si="457"/>
        <v>15.9056</v>
      </c>
      <c r="BM231" s="30">
        <f t="shared" si="457"/>
        <v>15.4526</v>
      </c>
      <c r="BN231" s="29">
        <f t="shared" si="457"/>
        <v>15.301600000000001</v>
      </c>
      <c r="BO231" s="85" t="str">
        <f t="shared" si="2"/>
        <v>$$$</v>
      </c>
      <c r="BP231" s="88" t="str">
        <f t="shared" ref="BP231:BP234" si="458">IFERROR(BO231*100/BO$5,"$$$")</f>
        <v>$$$</v>
      </c>
      <c r="BQ231" s="88" t="str">
        <f t="shared" si="4"/>
        <v>$$$</v>
      </c>
      <c r="BR231" s="88" t="str">
        <f t="shared" si="5"/>
        <v>$$$</v>
      </c>
      <c r="BS231" s="29" t="e">
        <f t="shared" ref="BS231:CD234" si="459">IF($CI231,IF(BS$7&gt;0,IF(BS$4&gt;$Q231,$BF231+BS$7*(BS$5+$BG231+$BI231),LOOKUP(BS$7,$AH231:$AL231,$AM231:$AQ231)+IF($AG231="Y",SUMPRODUCT($AX231:$BB231-$AW231:$BA231,BS$7-$AR231:$AV231,N(BS$7&gt;$AR231:$AV231)),BS$7*LOOKUP(BS$7,$AR231:$AV231,$AX231:$BB231))+IF($BE231="Y",$BF231,$BC231)+BS$7*IF($BE231="Y",$BG231,$BD231))*100/BS$7,""),NA())</f>
        <v>#N/A</v>
      </c>
      <c r="BT231" s="29" t="e">
        <f t="shared" si="459"/>
        <v>#N/A</v>
      </c>
      <c r="BU231" s="29" t="e">
        <f t="shared" si="459"/>
        <v>#N/A</v>
      </c>
      <c r="BV231" s="29" t="e">
        <f t="shared" si="459"/>
        <v>#N/A</v>
      </c>
      <c r="BW231" s="29" t="e">
        <f t="shared" si="459"/>
        <v>#N/A</v>
      </c>
      <c r="BX231" s="29" t="e">
        <f t="shared" si="459"/>
        <v>#N/A</v>
      </c>
      <c r="BY231" s="29" t="e">
        <f t="shared" si="459"/>
        <v>#N/A</v>
      </c>
      <c r="BZ231" s="29" t="e">
        <f t="shared" si="459"/>
        <v>#N/A</v>
      </c>
      <c r="CA231" s="29" t="e">
        <f t="shared" si="459"/>
        <v>#N/A</v>
      </c>
      <c r="CB231" s="29" t="e">
        <f t="shared" si="459"/>
        <v>#N/A</v>
      </c>
      <c r="CC231" s="29" t="e">
        <f t="shared" si="459"/>
        <v>#N/A</v>
      </c>
      <c r="CD231" s="29" t="e">
        <f t="shared" si="459"/>
        <v>#N/A</v>
      </c>
      <c r="CE231" s="6" t="str">
        <f t="shared" si="453"/>
        <v/>
      </c>
      <c r="CF231" s="27" t="e">
        <f>IF(AND(CI231,NOT(AD231)),LOOKUP(CF$5,{0,750,1500},H231:J231),"")</f>
        <v>#N/A</v>
      </c>
      <c r="CG231" s="6" t="str">
        <f t="shared" si="454"/>
        <v/>
      </c>
      <c r="CH231" t="e">
        <f t="shared" ref="CH231:CH234" si="460">IF(CI231,IF(ISNUMBER(BO231),BO231,100000)+CV231/10000+IF(ISNUMBER(BJ231),BJ231,2)/10000-P231/100000+ROW()/10000000,"")</f>
        <v>#N/A</v>
      </c>
      <c r="CI231" t="e">
        <f t="shared" ref="CI231:CI234" si="461">PRODUCT(CJ231:CQ231)</f>
        <v>#N/A</v>
      </c>
      <c r="CJ231" s="6" t="e">
        <f t="shared" si="11"/>
        <v>#N/A</v>
      </c>
      <c r="CK231" s="6">
        <f t="shared" si="12"/>
        <v>1</v>
      </c>
      <c r="CL231" s="6">
        <f t="shared" si="26"/>
        <v>1</v>
      </c>
      <c r="CM231" s="6">
        <f t="shared" si="13"/>
        <v>1</v>
      </c>
      <c r="CN231" s="6">
        <f t="shared" si="14"/>
        <v>1</v>
      </c>
      <c r="CO231" s="6">
        <f t="shared" si="15"/>
        <v>0</v>
      </c>
      <c r="CP231" s="6">
        <f t="shared" si="16"/>
        <v>1</v>
      </c>
      <c r="CQ231" s="6">
        <f t="shared" ref="CQ231:CQ234" si="462">IF(CQ$5="Any",1,IF(AND(CQ$5="Med",AV231=0,SUM(AN231:AQ231)=0),1,IF(AND(CQ$5="Low",AV231=0,SUM(AN231:AQ231)=0,AM231=0),1,IF(AND(CQ$5="Flat",AV231=0,SUM(AN231:AQ231)=0,AM231=0,IFERROR(NOT(BE231="Y"),0)),1,0))))</f>
        <v>1</v>
      </c>
      <c r="CR231" s="81" t="str">
        <f t="shared" si="17"/>
        <v/>
      </c>
      <c r="CS231">
        <f t="shared" ref="CS231:CS234" si="463">CS$5*(12/(MIN(12,Q231))-1)</f>
        <v>0</v>
      </c>
      <c r="CT231">
        <f t="shared" si="19"/>
        <v>295</v>
      </c>
      <c r="CU231" t="str">
        <f t="shared" si="29"/>
        <v/>
      </c>
      <c r="CV231" s="81">
        <f t="shared" ref="CV231:CV234" si="464">CT231*IF(CU231="",1,Q231)</f>
        <v>295</v>
      </c>
      <c r="CW231" s="81">
        <f>(CV231/25)^1.5*(Calculator!$BU$4/10000)*CW$5</f>
        <v>104.66393961177546</v>
      </c>
      <c r="CX231" t="str">
        <f t="shared" ref="CX231:CX234" si="465">"$"&amp;IF(LEFT(CU231,1)="r",CT231&amp;"/"&amp;CU231,CV231)</f>
        <v>$295</v>
      </c>
    </row>
    <row r="232" spans="2:102" x14ac:dyDescent="0.25">
      <c r="B232" s="115" t="s">
        <v>233</v>
      </c>
      <c r="C232" s="13">
        <v>46174.569444444445</v>
      </c>
      <c r="D232">
        <v>25236</v>
      </c>
      <c r="E232" s="54" t="s">
        <v>235</v>
      </c>
      <c r="F232" s="54" t="s">
        <v>633</v>
      </c>
      <c r="G232" s="54" t="s">
        <v>643</v>
      </c>
      <c r="H232" s="55">
        <v>15.7</v>
      </c>
      <c r="I232" s="55">
        <v>14.7</v>
      </c>
      <c r="J232" s="55">
        <v>14.2</v>
      </c>
      <c r="K232" s="54"/>
      <c r="L232" s="56" t="b">
        <v>0</v>
      </c>
      <c r="M232" s="56" t="b">
        <v>0</v>
      </c>
      <c r="N232" s="54">
        <v>1</v>
      </c>
      <c r="O232" s="54" t="s">
        <v>228</v>
      </c>
      <c r="P232" s="54">
        <v>24</v>
      </c>
      <c r="Q232" s="54">
        <v>12</v>
      </c>
      <c r="R232" s="54">
        <v>150</v>
      </c>
      <c r="S232" s="54" t="s">
        <v>635</v>
      </c>
      <c r="T232" s="54" t="s">
        <v>642</v>
      </c>
      <c r="U232" s="54" t="s">
        <v>637</v>
      </c>
      <c r="V232" s="54" t="s">
        <v>638</v>
      </c>
      <c r="W232" s="54" t="b">
        <v>0</v>
      </c>
      <c r="X232" s="54"/>
      <c r="Y232" s="57" t="s">
        <v>1672</v>
      </c>
      <c r="Z232" s="54" t="s">
        <v>640</v>
      </c>
      <c r="AA232" s="54"/>
      <c r="AB232" s="54" t="s">
        <v>639</v>
      </c>
      <c r="AC232" s="56" t="b">
        <v>1</v>
      </c>
      <c r="AD232" s="56" t="b">
        <v>0</v>
      </c>
      <c r="AE232" s="54" t="s">
        <v>303</v>
      </c>
      <c r="AF232" s="58">
        <v>46174</v>
      </c>
      <c r="AG232" s="62" t="s">
        <v>293</v>
      </c>
      <c r="AH232" s="54">
        <v>0</v>
      </c>
      <c r="AI232" s="54"/>
      <c r="AJ232" s="54"/>
      <c r="AK232" s="54"/>
      <c r="AL232" s="54"/>
      <c r="AM232" s="54">
        <v>5</v>
      </c>
      <c r="AN232" s="54"/>
      <c r="AO232" s="54"/>
      <c r="AP232" s="54"/>
      <c r="AQ232" s="54"/>
      <c r="AR232" s="54"/>
      <c r="AS232" s="54"/>
      <c r="AT232" s="54"/>
      <c r="AU232" s="54"/>
      <c r="AV232" s="54"/>
      <c r="AW232" s="54"/>
      <c r="AX232" s="59"/>
      <c r="AY232" s="59"/>
      <c r="AZ232" s="59"/>
      <c r="BA232" s="59"/>
      <c r="BB232" s="59">
        <v>8.5555999999999993E-2</v>
      </c>
      <c r="BC232" s="60">
        <v>4.9000000000000004</v>
      </c>
      <c r="BD232" s="61">
        <v>5.1461E-2</v>
      </c>
      <c r="BE232" s="62" t="s">
        <v>293</v>
      </c>
      <c r="BF232" s="35">
        <f t="shared" si="0"/>
        <v>4.9000000000000004</v>
      </c>
      <c r="BG232" s="35">
        <f t="shared" si="0"/>
        <v>5.1461E-2</v>
      </c>
      <c r="BH232" s="35" t="str">
        <f t="shared" si="455"/>
        <v>Med</v>
      </c>
      <c r="BI232" s="110">
        <f t="shared" si="456"/>
        <v>0</v>
      </c>
      <c r="BJ232" s="83">
        <f>VLOOKUP($F232,REP_Info!$D$6:$H$250,5,FALSE)</f>
        <v>0.53900000000000003</v>
      </c>
      <c r="BK232" s="30">
        <f t="shared" si="457"/>
        <v>15.681700000000001</v>
      </c>
      <c r="BL232" s="30">
        <f t="shared" si="457"/>
        <v>14.691700000000001</v>
      </c>
      <c r="BM232" s="30">
        <f t="shared" si="457"/>
        <v>14.196699999999998</v>
      </c>
      <c r="BN232" s="29">
        <f t="shared" si="457"/>
        <v>14.031700000000003</v>
      </c>
      <c r="BO232" s="85" t="str">
        <f t="shared" si="2"/>
        <v>$$$</v>
      </c>
      <c r="BP232" s="88" t="str">
        <f t="shared" si="458"/>
        <v>$$$</v>
      </c>
      <c r="BQ232" s="88" t="str">
        <f t="shared" si="4"/>
        <v>$$$</v>
      </c>
      <c r="BR232" s="88" t="str">
        <f t="shared" si="5"/>
        <v>$$$</v>
      </c>
      <c r="BS232" s="29" t="e">
        <f t="shared" si="459"/>
        <v>#N/A</v>
      </c>
      <c r="BT232" s="29" t="e">
        <f t="shared" si="459"/>
        <v>#N/A</v>
      </c>
      <c r="BU232" s="29" t="e">
        <f t="shared" si="459"/>
        <v>#N/A</v>
      </c>
      <c r="BV232" s="29" t="e">
        <f t="shared" si="459"/>
        <v>#N/A</v>
      </c>
      <c r="BW232" s="29" t="e">
        <f t="shared" si="459"/>
        <v>#N/A</v>
      </c>
      <c r="BX232" s="29" t="e">
        <f t="shared" si="459"/>
        <v>#N/A</v>
      </c>
      <c r="BY232" s="29" t="e">
        <f t="shared" si="459"/>
        <v>#N/A</v>
      </c>
      <c r="BZ232" s="29" t="e">
        <f t="shared" si="459"/>
        <v>#N/A</v>
      </c>
      <c r="CA232" s="29" t="e">
        <f t="shared" si="459"/>
        <v>#N/A</v>
      </c>
      <c r="CB232" s="29" t="e">
        <f t="shared" si="459"/>
        <v>#N/A</v>
      </c>
      <c r="CC232" s="29" t="e">
        <f t="shared" si="459"/>
        <v>#N/A</v>
      </c>
      <c r="CD232" s="29" t="e">
        <f t="shared" si="459"/>
        <v>#N/A</v>
      </c>
      <c r="CE232" s="6" t="str">
        <f t="shared" si="453"/>
        <v/>
      </c>
      <c r="CF232" s="27" t="e">
        <f>IF(AND(CI232,NOT(AD232)),LOOKUP(CF$5,{0,750,1500},H232:J232),"")</f>
        <v>#N/A</v>
      </c>
      <c r="CG232" s="6" t="str">
        <f t="shared" si="454"/>
        <v/>
      </c>
      <c r="CH232" t="e">
        <f t="shared" si="460"/>
        <v>#N/A</v>
      </c>
      <c r="CI232" t="e">
        <f t="shared" si="461"/>
        <v>#N/A</v>
      </c>
      <c r="CJ232" s="6" t="e">
        <f t="shared" si="11"/>
        <v>#N/A</v>
      </c>
      <c r="CK232" s="6">
        <f t="shared" si="12"/>
        <v>1</v>
      </c>
      <c r="CL232" s="6">
        <f t="shared" si="26"/>
        <v>1</v>
      </c>
      <c r="CM232" s="6">
        <f t="shared" si="13"/>
        <v>1</v>
      </c>
      <c r="CN232" s="6">
        <f t="shared" si="14"/>
        <v>1</v>
      </c>
      <c r="CO232" s="6">
        <f t="shared" si="15"/>
        <v>1</v>
      </c>
      <c r="CP232" s="6">
        <f t="shared" si="16"/>
        <v>1</v>
      </c>
      <c r="CQ232" s="6">
        <f t="shared" si="462"/>
        <v>1</v>
      </c>
      <c r="CR232" s="81" t="str">
        <f t="shared" si="17"/>
        <v/>
      </c>
      <c r="CS232">
        <f t="shared" si="463"/>
        <v>0</v>
      </c>
      <c r="CT232">
        <f t="shared" si="19"/>
        <v>150</v>
      </c>
      <c r="CU232" t="str">
        <f t="shared" si="29"/>
        <v/>
      </c>
      <c r="CV232" s="81">
        <f t="shared" si="464"/>
        <v>150</v>
      </c>
      <c r="CW232" s="81">
        <f>(CV232/25)^1.5*(Calculator!$BU$4/10000)*CW$5</f>
        <v>37.949052970673385</v>
      </c>
      <c r="CX232" t="str">
        <f t="shared" si="465"/>
        <v>$150</v>
      </c>
    </row>
    <row r="233" spans="2:102" x14ac:dyDescent="0.25">
      <c r="B233" s="115" t="s">
        <v>233</v>
      </c>
      <c r="C233" s="13">
        <v>46237.767361111109</v>
      </c>
      <c r="D233">
        <v>25238</v>
      </c>
      <c r="E233" s="54" t="s">
        <v>237</v>
      </c>
      <c r="F233" s="54" t="s">
        <v>633</v>
      </c>
      <c r="G233" s="54" t="s">
        <v>643</v>
      </c>
      <c r="H233" s="55">
        <v>16.5</v>
      </c>
      <c r="I233" s="55">
        <v>15.6</v>
      </c>
      <c r="J233" s="55">
        <v>15.2</v>
      </c>
      <c r="K233" s="54"/>
      <c r="L233" s="56" t="b">
        <v>0</v>
      </c>
      <c r="M233" s="56" t="b">
        <v>0</v>
      </c>
      <c r="N233" s="54">
        <v>1</v>
      </c>
      <c r="O233" s="54" t="s">
        <v>228</v>
      </c>
      <c r="P233" s="54">
        <v>24</v>
      </c>
      <c r="Q233" s="54">
        <v>12</v>
      </c>
      <c r="R233" s="54">
        <v>150</v>
      </c>
      <c r="S233" s="54" t="s">
        <v>635</v>
      </c>
      <c r="T233" s="54" t="s">
        <v>642</v>
      </c>
      <c r="U233" s="54" t="s">
        <v>637</v>
      </c>
      <c r="V233" s="54" t="s">
        <v>638</v>
      </c>
      <c r="W233" s="54" t="b">
        <v>0</v>
      </c>
      <c r="X233" s="54"/>
      <c r="Y233" s="57" t="s">
        <v>2294</v>
      </c>
      <c r="Z233" s="54" t="s">
        <v>2292</v>
      </c>
      <c r="AA233" s="54"/>
      <c r="AB233" s="54" t="s">
        <v>639</v>
      </c>
      <c r="AC233" s="56" t="b">
        <v>1</v>
      </c>
      <c r="AD233" s="56" t="b">
        <v>0</v>
      </c>
      <c r="AE233" s="54" t="s">
        <v>303</v>
      </c>
      <c r="AF233" s="58">
        <v>46235</v>
      </c>
      <c r="AG233" s="62" t="s">
        <v>293</v>
      </c>
      <c r="AH233" s="54">
        <v>0</v>
      </c>
      <c r="AI233" s="54"/>
      <c r="AJ233" s="54"/>
      <c r="AK233" s="54"/>
      <c r="AL233" s="54"/>
      <c r="AM233" s="54">
        <v>5</v>
      </c>
      <c r="AN233" s="54"/>
      <c r="AO233" s="54"/>
      <c r="AP233" s="54"/>
      <c r="AQ233" s="54"/>
      <c r="AR233" s="54"/>
      <c r="AS233" s="54"/>
      <c r="AT233" s="54"/>
      <c r="AU233" s="54"/>
      <c r="AV233" s="54"/>
      <c r="AW233" s="54"/>
      <c r="AX233" s="59"/>
      <c r="AY233" s="59"/>
      <c r="AZ233" s="59"/>
      <c r="BA233" s="59"/>
      <c r="BB233" s="59">
        <v>8.6701E-2</v>
      </c>
      <c r="BC233" s="60">
        <v>4.0599999999999996</v>
      </c>
      <c r="BD233" s="61">
        <v>6.0295000000000001E-2</v>
      </c>
      <c r="BE233" s="62" t="s">
        <v>293</v>
      </c>
      <c r="BF233" s="35">
        <f t="shared" ref="BF233:BG234" si="466">IF($E233=$E$4,BF$4,IF($E233=$E$5,BF$5,""))</f>
        <v>4.0600000000000005</v>
      </c>
      <c r="BG233" s="35">
        <f t="shared" si="466"/>
        <v>6.0295000000000001E-2</v>
      </c>
      <c r="BH233" s="35" t="str">
        <f t="shared" si="455"/>
        <v>Med</v>
      </c>
      <c r="BI233" s="110">
        <f t="shared" si="456"/>
        <v>0</v>
      </c>
      <c r="BJ233" s="83">
        <f>VLOOKUP($F233,REP_Info!$D$6:$H$250,5,FALSE)</f>
        <v>0.53900000000000003</v>
      </c>
      <c r="BK233" s="30">
        <f t="shared" si="457"/>
        <v>16.511599999999998</v>
      </c>
      <c r="BL233" s="30">
        <f t="shared" si="457"/>
        <v>15.605599999999999</v>
      </c>
      <c r="BM233" s="30">
        <f t="shared" si="457"/>
        <v>15.1526</v>
      </c>
      <c r="BN233" s="29">
        <f t="shared" si="457"/>
        <v>15.001600000000002</v>
      </c>
      <c r="BO233" s="85" t="str">
        <f t="shared" si="2"/>
        <v>$$$</v>
      </c>
      <c r="BP233" s="88" t="str">
        <f t="shared" si="458"/>
        <v>$$$</v>
      </c>
      <c r="BQ233" s="88" t="str">
        <f t="shared" si="4"/>
        <v>$$$</v>
      </c>
      <c r="BR233" s="88" t="str">
        <f t="shared" si="5"/>
        <v>$$$</v>
      </c>
      <c r="BS233" s="29" t="e">
        <f t="shared" si="459"/>
        <v>#N/A</v>
      </c>
      <c r="BT233" s="29" t="e">
        <f t="shared" si="459"/>
        <v>#N/A</v>
      </c>
      <c r="BU233" s="29" t="e">
        <f t="shared" si="459"/>
        <v>#N/A</v>
      </c>
      <c r="BV233" s="29" t="e">
        <f t="shared" si="459"/>
        <v>#N/A</v>
      </c>
      <c r="BW233" s="29" t="e">
        <f t="shared" si="459"/>
        <v>#N/A</v>
      </c>
      <c r="BX233" s="29" t="e">
        <f t="shared" si="459"/>
        <v>#N/A</v>
      </c>
      <c r="BY233" s="29" t="e">
        <f t="shared" si="459"/>
        <v>#N/A</v>
      </c>
      <c r="BZ233" s="29" t="e">
        <f t="shared" si="459"/>
        <v>#N/A</v>
      </c>
      <c r="CA233" s="29" t="e">
        <f t="shared" si="459"/>
        <v>#N/A</v>
      </c>
      <c r="CB233" s="29" t="e">
        <f t="shared" si="459"/>
        <v>#N/A</v>
      </c>
      <c r="CC233" s="29" t="e">
        <f t="shared" si="459"/>
        <v>#N/A</v>
      </c>
      <c r="CD233" s="29" t="e">
        <f t="shared" si="459"/>
        <v>#N/A</v>
      </c>
      <c r="CE233" s="6" t="str">
        <f t="shared" si="453"/>
        <v/>
      </c>
      <c r="CF233" s="27" t="e">
        <f>IF(AND(CI233,NOT(AD233)),LOOKUP(CF$5,{0,750,1500},H233:J233),"")</f>
        <v>#N/A</v>
      </c>
      <c r="CG233" s="6" t="str">
        <f t="shared" si="454"/>
        <v/>
      </c>
      <c r="CH233" t="e">
        <f t="shared" si="460"/>
        <v>#N/A</v>
      </c>
      <c r="CI233" t="e">
        <f t="shared" si="461"/>
        <v>#N/A</v>
      </c>
      <c r="CJ233" s="6" t="e">
        <f t="shared" si="11"/>
        <v>#N/A</v>
      </c>
      <c r="CK233" s="6">
        <f t="shared" si="12"/>
        <v>1</v>
      </c>
      <c r="CL233" s="6">
        <f t="shared" si="26"/>
        <v>1</v>
      </c>
      <c r="CM233" s="6">
        <f t="shared" si="13"/>
        <v>1</v>
      </c>
      <c r="CN233" s="6">
        <f t="shared" si="14"/>
        <v>1</v>
      </c>
      <c r="CO233" s="6">
        <f t="shared" si="15"/>
        <v>1</v>
      </c>
      <c r="CP233" s="6">
        <f t="shared" si="16"/>
        <v>1</v>
      </c>
      <c r="CQ233" s="6">
        <f t="shared" si="462"/>
        <v>1</v>
      </c>
      <c r="CR233" s="81" t="str">
        <f t="shared" si="17"/>
        <v/>
      </c>
      <c r="CS233">
        <f t="shared" si="463"/>
        <v>0</v>
      </c>
      <c r="CT233">
        <f t="shared" si="19"/>
        <v>150</v>
      </c>
      <c r="CU233" t="str">
        <f t="shared" si="29"/>
        <v/>
      </c>
      <c r="CV233" s="81">
        <f t="shared" si="464"/>
        <v>150</v>
      </c>
      <c r="CW233" s="81">
        <f>(CV233/25)^1.5*(Calculator!$BU$4/10000)*CW$5</f>
        <v>37.949052970673385</v>
      </c>
      <c r="CX233" t="str">
        <f t="shared" si="465"/>
        <v>$150</v>
      </c>
    </row>
    <row r="234" spans="2:102" x14ac:dyDescent="0.25">
      <c r="B234" s="115" t="s">
        <v>233</v>
      </c>
      <c r="C234" s="13">
        <v>46174.569444444445</v>
      </c>
      <c r="D234">
        <v>26804</v>
      </c>
      <c r="E234" s="54" t="s">
        <v>235</v>
      </c>
      <c r="F234" s="54" t="s">
        <v>633</v>
      </c>
      <c r="G234" s="54" t="s">
        <v>644</v>
      </c>
      <c r="H234" s="55">
        <v>16.100000000000001</v>
      </c>
      <c r="I234" s="55">
        <v>15.1</v>
      </c>
      <c r="J234" s="55">
        <v>14.6</v>
      </c>
      <c r="K234" s="54"/>
      <c r="L234" s="56" t="b">
        <v>0</v>
      </c>
      <c r="M234" s="56" t="b">
        <v>0</v>
      </c>
      <c r="N234" s="54">
        <v>1</v>
      </c>
      <c r="O234" s="54" t="s">
        <v>228</v>
      </c>
      <c r="P234" s="54">
        <v>24</v>
      </c>
      <c r="Q234" s="54">
        <v>36</v>
      </c>
      <c r="R234" s="54">
        <v>395</v>
      </c>
      <c r="S234" s="54" t="s">
        <v>635</v>
      </c>
      <c r="T234" s="54" t="s">
        <v>642</v>
      </c>
      <c r="U234" s="54" t="s">
        <v>637</v>
      </c>
      <c r="V234" s="54" t="s">
        <v>638</v>
      </c>
      <c r="W234" s="54" t="b">
        <v>0</v>
      </c>
      <c r="X234" s="54"/>
      <c r="Y234" s="57" t="s">
        <v>1673</v>
      </c>
      <c r="Z234" s="54" t="s">
        <v>640</v>
      </c>
      <c r="AA234" s="54"/>
      <c r="AB234" s="54" t="s">
        <v>639</v>
      </c>
      <c r="AC234" s="56" t="b">
        <v>1</v>
      </c>
      <c r="AD234" s="56" t="b">
        <v>0</v>
      </c>
      <c r="AE234" s="54" t="s">
        <v>303</v>
      </c>
      <c r="AF234" s="58">
        <v>46174</v>
      </c>
      <c r="AG234" s="62" t="s">
        <v>293</v>
      </c>
      <c r="AH234" s="54">
        <v>0</v>
      </c>
      <c r="AI234" s="54"/>
      <c r="AJ234" s="54"/>
      <c r="AK234" s="54"/>
      <c r="AL234" s="54"/>
      <c r="AM234" s="54">
        <v>5</v>
      </c>
      <c r="AN234" s="54"/>
      <c r="AO234" s="54"/>
      <c r="AP234" s="54"/>
      <c r="AQ234" s="54"/>
      <c r="AR234" s="54"/>
      <c r="AS234" s="54"/>
      <c r="AT234" s="54"/>
      <c r="AU234" s="54"/>
      <c r="AV234" s="54"/>
      <c r="AW234" s="54"/>
      <c r="AX234" s="59"/>
      <c r="AY234" s="59"/>
      <c r="AZ234" s="59"/>
      <c r="BA234" s="59"/>
      <c r="BB234" s="59">
        <v>8.9555999999999997E-2</v>
      </c>
      <c r="BC234" s="60">
        <v>4.9000000000000004</v>
      </c>
      <c r="BD234" s="61">
        <v>5.1461E-2</v>
      </c>
      <c r="BE234" s="62" t="s">
        <v>293</v>
      </c>
      <c r="BF234" s="35">
        <f t="shared" si="466"/>
        <v>4.9000000000000004</v>
      </c>
      <c r="BG234" s="35">
        <f t="shared" si="466"/>
        <v>5.1461E-2</v>
      </c>
      <c r="BH234" s="35" t="str">
        <f t="shared" si="455"/>
        <v>Med</v>
      </c>
      <c r="BI234" s="110">
        <f t="shared" si="456"/>
        <v>0</v>
      </c>
      <c r="BJ234" s="83">
        <f>VLOOKUP($F234,REP_Info!$D$6:$H$250,5,FALSE)</f>
        <v>0.53900000000000003</v>
      </c>
      <c r="BK234" s="30">
        <f t="shared" si="457"/>
        <v>16.081700000000001</v>
      </c>
      <c r="BL234" s="30">
        <f t="shared" si="457"/>
        <v>15.091700000000001</v>
      </c>
      <c r="BM234" s="30">
        <f t="shared" si="457"/>
        <v>14.596699999999998</v>
      </c>
      <c r="BN234" s="29">
        <f t="shared" si="457"/>
        <v>14.431700000000001</v>
      </c>
      <c r="BO234" s="85" t="str">
        <f t="shared" si="2"/>
        <v>$$$</v>
      </c>
      <c r="BP234" s="88" t="str">
        <f t="shared" si="458"/>
        <v>$$$</v>
      </c>
      <c r="BQ234" s="88" t="str">
        <f t="shared" si="4"/>
        <v>$$$</v>
      </c>
      <c r="BR234" s="88" t="str">
        <f t="shared" si="5"/>
        <v>$$$</v>
      </c>
      <c r="BS234" s="29" t="e">
        <f t="shared" si="459"/>
        <v>#N/A</v>
      </c>
      <c r="BT234" s="29" t="e">
        <f t="shared" si="459"/>
        <v>#N/A</v>
      </c>
      <c r="BU234" s="29" t="e">
        <f t="shared" si="459"/>
        <v>#N/A</v>
      </c>
      <c r="BV234" s="29" t="e">
        <f t="shared" si="459"/>
        <v>#N/A</v>
      </c>
      <c r="BW234" s="29" t="e">
        <f t="shared" si="459"/>
        <v>#N/A</v>
      </c>
      <c r="BX234" s="29" t="e">
        <f t="shared" si="459"/>
        <v>#N/A</v>
      </c>
      <c r="BY234" s="29" t="e">
        <f t="shared" si="459"/>
        <v>#N/A</v>
      </c>
      <c r="BZ234" s="29" t="e">
        <f t="shared" si="459"/>
        <v>#N/A</v>
      </c>
      <c r="CA234" s="29" t="e">
        <f t="shared" si="459"/>
        <v>#N/A</v>
      </c>
      <c r="CB234" s="29" t="e">
        <f t="shared" si="459"/>
        <v>#N/A</v>
      </c>
      <c r="CC234" s="29" t="e">
        <f t="shared" si="459"/>
        <v>#N/A</v>
      </c>
      <c r="CD234" s="29" t="e">
        <f t="shared" si="459"/>
        <v>#N/A</v>
      </c>
      <c r="CE234" s="6" t="str">
        <f t="shared" si="453"/>
        <v/>
      </c>
      <c r="CF234" s="27" t="e">
        <f>IF(AND(CI234,NOT(AD234)),LOOKUP(CF$5,{0,750,1500},H234:J234),"")</f>
        <v>#N/A</v>
      </c>
      <c r="CG234" s="6" t="str">
        <f t="shared" si="454"/>
        <v/>
      </c>
      <c r="CH234" t="e">
        <f t="shared" si="460"/>
        <v>#N/A</v>
      </c>
      <c r="CI234" t="e">
        <f t="shared" si="461"/>
        <v>#N/A</v>
      </c>
      <c r="CJ234" s="6" t="e">
        <f t="shared" si="11"/>
        <v>#N/A</v>
      </c>
      <c r="CK234" s="6">
        <f t="shared" si="12"/>
        <v>1</v>
      </c>
      <c r="CL234" s="6">
        <f t="shared" si="26"/>
        <v>1</v>
      </c>
      <c r="CM234" s="6">
        <f t="shared" si="13"/>
        <v>1</v>
      </c>
      <c r="CN234" s="6">
        <f t="shared" si="14"/>
        <v>1</v>
      </c>
      <c r="CO234" s="6">
        <f t="shared" si="15"/>
        <v>0</v>
      </c>
      <c r="CP234" s="6">
        <f t="shared" si="16"/>
        <v>1</v>
      </c>
      <c r="CQ234" s="6">
        <f t="shared" si="462"/>
        <v>1</v>
      </c>
      <c r="CR234" s="81" t="str">
        <f t="shared" si="17"/>
        <v/>
      </c>
      <c r="CS234">
        <f t="shared" si="463"/>
        <v>0</v>
      </c>
      <c r="CT234">
        <f t="shared" si="19"/>
        <v>395</v>
      </c>
      <c r="CU234" t="str">
        <f t="shared" si="29"/>
        <v/>
      </c>
      <c r="CV234" s="81">
        <f t="shared" si="464"/>
        <v>395</v>
      </c>
      <c r="CW234" s="81">
        <f>(CV234/25)^1.5*(Calculator!$BU$4/10000)*CW$5</f>
        <v>162.16595996535787</v>
      </c>
      <c r="CX234" t="str">
        <f t="shared" si="465"/>
        <v>$395</v>
      </c>
    </row>
    <row r="235" spans="2:102" x14ac:dyDescent="0.25">
      <c r="B235" s="115" t="s">
        <v>233</v>
      </c>
      <c r="C235" s="13">
        <v>46237.767361111109</v>
      </c>
      <c r="D235">
        <v>26808</v>
      </c>
      <c r="E235" s="54" t="s">
        <v>237</v>
      </c>
      <c r="F235" s="54" t="s">
        <v>633</v>
      </c>
      <c r="G235" s="54" t="s">
        <v>644</v>
      </c>
      <c r="H235" s="55">
        <v>17.100000000000001</v>
      </c>
      <c r="I235" s="55">
        <v>16.2</v>
      </c>
      <c r="J235" s="55">
        <v>15.8</v>
      </c>
      <c r="K235" s="54"/>
      <c r="L235" s="56" t="b">
        <v>0</v>
      </c>
      <c r="M235" s="56" t="b">
        <v>0</v>
      </c>
      <c r="N235" s="54">
        <v>1</v>
      </c>
      <c r="O235" s="54" t="s">
        <v>228</v>
      </c>
      <c r="P235" s="54">
        <v>24</v>
      </c>
      <c r="Q235" s="54">
        <v>36</v>
      </c>
      <c r="R235" s="54">
        <v>395</v>
      </c>
      <c r="S235" s="54" t="s">
        <v>635</v>
      </c>
      <c r="T235" s="54" t="s">
        <v>642</v>
      </c>
      <c r="U235" s="54" t="s">
        <v>637</v>
      </c>
      <c r="V235" s="54" t="s">
        <v>638</v>
      </c>
      <c r="W235" s="54" t="b">
        <v>0</v>
      </c>
      <c r="X235" s="54"/>
      <c r="Y235" s="57" t="s">
        <v>2295</v>
      </c>
      <c r="Z235" s="54" t="s">
        <v>2292</v>
      </c>
      <c r="AA235" s="54"/>
      <c r="AB235" s="54" t="s">
        <v>639</v>
      </c>
      <c r="AC235" s="56" t="b">
        <v>1</v>
      </c>
      <c r="AD235" s="56" t="b">
        <v>0</v>
      </c>
      <c r="AE235" s="54" t="s">
        <v>303</v>
      </c>
      <c r="AF235" s="58">
        <v>46235</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9.2701000000000006E-2</v>
      </c>
      <c r="BC235" s="60">
        <v>4.0599999999999996</v>
      </c>
      <c r="BD235" s="61">
        <v>6.0295000000000001E-2</v>
      </c>
      <c r="BE235" s="62" t="s">
        <v>293</v>
      </c>
      <c r="BF235" s="35">
        <f t="shared" ref="BF235:BG251" si="467">IF($E235=$E$4,BF$4,IF($E235=$E$5,BF$5,""))</f>
        <v>4.0600000000000005</v>
      </c>
      <c r="BG235" s="35">
        <f t="shared" si="467"/>
        <v>6.0295000000000001E-2</v>
      </c>
      <c r="BH235" s="35" t="str">
        <f t="shared" ref="BH235:BH251" si="468">IF(ISTEXT(BE235),IF(AND(AV235=0,SUM(AN235:AQ235)=0),IF(AM235&lt;=0,IF(BE235="Y","Low","Flat"),"Med"),"High"),"?")</f>
        <v>Med</v>
      </c>
      <c r="BI235" s="110">
        <f t="shared" ref="BI235:BI251" si="469">IF(ISNUMBER(AH235),0*BI$5*SIN((EDATE($A$3,$Q235)-DATE(YEAR(EDATE($A$3,$Q235)),1,0)-BI$4)*2*PI()/365),"")</f>
        <v>0</v>
      </c>
      <c r="BJ235" s="83">
        <f>VLOOKUP($F235,REP_Info!$D$6:$H$250,5,FALSE)</f>
        <v>0.53900000000000003</v>
      </c>
      <c r="BK235" s="30">
        <f t="shared" ref="BK235:BN251" si="470">IF(BK$7&gt;0,(LOOKUP(BK$7,$AH235:$AL235,$AM235:$AQ235)+IF($AG235="Y",SUMPRODUCT($AX235:$BB235-$AW235:$BA235,BK$7-$AR235:$AV235,N(BK$7&gt;$AR235:$AV235)),BK$7*LOOKUP(BK$7,$AR235:$AV235,$AX235:$BB235))+IF($BE235="Y",$BF235,$BC235)+BK$7*IF($BE235="Y",$BG235,$BD235))*100/BK$7,"")</f>
        <v>17.111600000000003</v>
      </c>
      <c r="BL235" s="30">
        <f t="shared" si="470"/>
        <v>16.2056</v>
      </c>
      <c r="BM235" s="30">
        <f t="shared" si="470"/>
        <v>15.752600000000001</v>
      </c>
      <c r="BN235" s="29">
        <f t="shared" si="470"/>
        <v>15.601600000000001</v>
      </c>
      <c r="BO235" s="85" t="str">
        <f t="shared" si="2"/>
        <v>$$$</v>
      </c>
      <c r="BP235" s="88" t="str">
        <f t="shared" ref="BP235:BP251" si="471">IFERROR(BO235*100/BO$5,"$$$")</f>
        <v>$$$</v>
      </c>
      <c r="BQ235" s="88" t="str">
        <f t="shared" si="4"/>
        <v>$$$</v>
      </c>
      <c r="BR235" s="88" t="str">
        <f t="shared" si="5"/>
        <v>$$$</v>
      </c>
      <c r="BS235" s="29" t="e">
        <f t="shared" ref="BS235:CD251" si="472">IF($CI235,IF(BS$7&gt;0,IF(BS$4&gt;$Q235,$BF235+BS$7*(BS$5+$BG235+$BI235),LOOKUP(BS$7,$AH235:$AL235,$AM235:$AQ235)+IF($AG235="Y",SUMPRODUCT($AX235:$BB235-$AW235:$BA235,BS$7-$AR235:$AV235,N(BS$7&gt;$AR235:$AV235)),BS$7*LOOKUP(BS$7,$AR235:$AV235,$AX235:$BB235))+IF($BE235="Y",$BF235,$BC235)+BS$7*IF($BE235="Y",$BG235,$BD235))*100/BS$7,""),NA())</f>
        <v>#N/A</v>
      </c>
      <c r="BT235" s="29" t="e">
        <f t="shared" si="472"/>
        <v>#N/A</v>
      </c>
      <c r="BU235" s="29" t="e">
        <f t="shared" si="472"/>
        <v>#N/A</v>
      </c>
      <c r="BV235" s="29" t="e">
        <f t="shared" si="472"/>
        <v>#N/A</v>
      </c>
      <c r="BW235" s="29" t="e">
        <f t="shared" si="472"/>
        <v>#N/A</v>
      </c>
      <c r="BX235" s="29" t="e">
        <f t="shared" si="472"/>
        <v>#N/A</v>
      </c>
      <c r="BY235" s="29" t="e">
        <f t="shared" si="472"/>
        <v>#N/A</v>
      </c>
      <c r="BZ235" s="29" t="e">
        <f t="shared" si="472"/>
        <v>#N/A</v>
      </c>
      <c r="CA235" s="29" t="e">
        <f t="shared" si="472"/>
        <v>#N/A</v>
      </c>
      <c r="CB235" s="29" t="e">
        <f t="shared" si="472"/>
        <v>#N/A</v>
      </c>
      <c r="CC235" s="29" t="e">
        <f t="shared" si="472"/>
        <v>#N/A</v>
      </c>
      <c r="CD235" s="29" t="e">
        <f t="shared" si="472"/>
        <v>#N/A</v>
      </c>
      <c r="CE235" s="6" t="str">
        <f t="shared" si="453"/>
        <v/>
      </c>
      <c r="CF235" s="27" t="e">
        <f>IF(AND(CI235,NOT(AD235)),LOOKUP(CF$5,{0,750,1500},H235:J235),"")</f>
        <v>#N/A</v>
      </c>
      <c r="CG235" s="6" t="str">
        <f t="shared" si="454"/>
        <v/>
      </c>
      <c r="CH235" t="e">
        <f t="shared" ref="CH235:CH251" si="473">IF(CI235,IF(ISNUMBER(BO235),BO235,100000)+CV235/10000+IF(ISNUMBER(BJ235),BJ235,2)/10000-P235/100000+ROW()/10000000,"")</f>
        <v>#N/A</v>
      </c>
      <c r="CI235" t="e">
        <f t="shared" ref="CI235:CI251" si="474">PRODUCT(CJ235:CQ235)</f>
        <v>#N/A</v>
      </c>
      <c r="CJ235" s="6" t="e">
        <f t="shared" si="11"/>
        <v>#N/A</v>
      </c>
      <c r="CK235" s="6">
        <f t="shared" si="12"/>
        <v>1</v>
      </c>
      <c r="CL235" s="6">
        <f t="shared" si="26"/>
        <v>1</v>
      </c>
      <c r="CM235" s="6">
        <f t="shared" si="13"/>
        <v>1</v>
      </c>
      <c r="CN235" s="6">
        <f t="shared" si="14"/>
        <v>1</v>
      </c>
      <c r="CO235" s="6">
        <f t="shared" si="15"/>
        <v>0</v>
      </c>
      <c r="CP235" s="6">
        <f t="shared" si="16"/>
        <v>1</v>
      </c>
      <c r="CQ235" s="6">
        <f t="shared" ref="CQ235:CQ251" si="475">IF(CQ$5="Any",1,IF(AND(CQ$5="Med",AV235=0,SUM(AN235:AQ235)=0),1,IF(AND(CQ$5="Low",AV235=0,SUM(AN235:AQ235)=0,AM235=0),1,IF(AND(CQ$5="Flat",AV235=0,SUM(AN235:AQ235)=0,AM235=0,IFERROR(NOT(BE235="Y"),0)),1,0))))</f>
        <v>1</v>
      </c>
      <c r="CR235" s="81" t="str">
        <f t="shared" si="17"/>
        <v/>
      </c>
      <c r="CS235">
        <f t="shared" ref="CS235:CS251" si="476">CS$5*(12/(MIN(12,Q235))-1)</f>
        <v>0</v>
      </c>
      <c r="CT235">
        <f t="shared" si="19"/>
        <v>395</v>
      </c>
      <c r="CU235" t="str">
        <f t="shared" si="29"/>
        <v/>
      </c>
      <c r="CV235" s="81">
        <f t="shared" ref="CV235:CV251" si="477">CT235*IF(CU235="",1,Q235)</f>
        <v>395</v>
      </c>
      <c r="CW235" s="81">
        <f>(CV235/25)^1.5*(Calculator!$BU$4/10000)*CW$5</f>
        <v>162.16595996535787</v>
      </c>
      <c r="CX235" t="str">
        <f t="shared" ref="CX235:CX251" si="478">"$"&amp;IF(LEFT(CU235,1)="r",CT235&amp;"/"&amp;CU235,CV235)</f>
        <v>$395</v>
      </c>
    </row>
    <row r="236" spans="2:102" x14ac:dyDescent="0.25">
      <c r="B236" s="115" t="s">
        <v>233</v>
      </c>
      <c r="C236" s="13">
        <v>46174.569444444445</v>
      </c>
      <c r="D236">
        <v>28112</v>
      </c>
      <c r="E236" s="54" t="s">
        <v>235</v>
      </c>
      <c r="F236" s="54" t="s">
        <v>633</v>
      </c>
      <c r="G236" s="54" t="s">
        <v>1614</v>
      </c>
      <c r="H236" s="55">
        <v>15.6</v>
      </c>
      <c r="I236" s="55">
        <v>14.6</v>
      </c>
      <c r="J236" s="55">
        <v>14.099999999999998</v>
      </c>
      <c r="K236" s="54"/>
      <c r="L236" s="56" t="b">
        <v>0</v>
      </c>
      <c r="M236" s="56" t="b">
        <v>0</v>
      </c>
      <c r="N236" s="54">
        <v>1</v>
      </c>
      <c r="O236" s="54" t="s">
        <v>228</v>
      </c>
      <c r="P236" s="54">
        <v>15</v>
      </c>
      <c r="Q236" s="54">
        <v>18</v>
      </c>
      <c r="R236" s="54">
        <v>180</v>
      </c>
      <c r="S236" s="54" t="s">
        <v>635</v>
      </c>
      <c r="T236" s="54" t="s">
        <v>642</v>
      </c>
      <c r="U236" s="54" t="s">
        <v>637</v>
      </c>
      <c r="V236" s="54" t="s">
        <v>638</v>
      </c>
      <c r="W236" s="54" t="b">
        <v>0</v>
      </c>
      <c r="X236" s="54"/>
      <c r="Y236" s="57" t="s">
        <v>1674</v>
      </c>
      <c r="Z236" s="54" t="s">
        <v>1615</v>
      </c>
      <c r="AA236" s="54"/>
      <c r="AB236" s="54" t="s">
        <v>639</v>
      </c>
      <c r="AC236" s="56" t="b">
        <v>1</v>
      </c>
      <c r="AD236" s="56" t="b">
        <v>0</v>
      </c>
      <c r="AE236" s="54" t="s">
        <v>303</v>
      </c>
      <c r="AF236" s="58">
        <v>46174</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8.4556000000000006E-2</v>
      </c>
      <c r="BC236" s="60">
        <v>4.9000000000000004</v>
      </c>
      <c r="BD236" s="61">
        <v>5.1461E-2</v>
      </c>
      <c r="BE236" s="62" t="s">
        <v>293</v>
      </c>
      <c r="BF236" s="35">
        <f t="shared" si="467"/>
        <v>4.9000000000000004</v>
      </c>
      <c r="BG236" s="35">
        <f t="shared" si="467"/>
        <v>5.1461E-2</v>
      </c>
      <c r="BH236" s="35" t="str">
        <f t="shared" si="468"/>
        <v>Med</v>
      </c>
      <c r="BI236" s="110">
        <f t="shared" si="469"/>
        <v>0</v>
      </c>
      <c r="BJ236" s="83">
        <f>VLOOKUP($F236,REP_Info!$D$6:$H$250,5,FALSE)</f>
        <v>0.53900000000000003</v>
      </c>
      <c r="BK236" s="30">
        <f t="shared" si="470"/>
        <v>15.581700000000001</v>
      </c>
      <c r="BL236" s="30">
        <f t="shared" si="470"/>
        <v>14.591700000000003</v>
      </c>
      <c r="BM236" s="30">
        <f t="shared" si="470"/>
        <v>14.0967</v>
      </c>
      <c r="BN236" s="29">
        <f t="shared" si="470"/>
        <v>13.931700000000001</v>
      </c>
      <c r="BO236" s="85" t="str">
        <f t="shared" si="2"/>
        <v>$$$</v>
      </c>
      <c r="BP236" s="88" t="str">
        <f t="shared" si="471"/>
        <v>$$$</v>
      </c>
      <c r="BQ236" s="88" t="str">
        <f t="shared" si="4"/>
        <v>$$$</v>
      </c>
      <c r="BR236" s="88" t="str">
        <f t="shared" si="5"/>
        <v>$$$</v>
      </c>
      <c r="BS236" s="29" t="e">
        <f t="shared" si="472"/>
        <v>#N/A</v>
      </c>
      <c r="BT236" s="29" t="e">
        <f t="shared" si="472"/>
        <v>#N/A</v>
      </c>
      <c r="BU236" s="29" t="e">
        <f t="shared" si="472"/>
        <v>#N/A</v>
      </c>
      <c r="BV236" s="29" t="e">
        <f t="shared" si="472"/>
        <v>#N/A</v>
      </c>
      <c r="BW236" s="29" t="e">
        <f t="shared" si="472"/>
        <v>#N/A</v>
      </c>
      <c r="BX236" s="29" t="e">
        <f t="shared" si="472"/>
        <v>#N/A</v>
      </c>
      <c r="BY236" s="29" t="e">
        <f t="shared" si="472"/>
        <v>#N/A</v>
      </c>
      <c r="BZ236" s="29" t="e">
        <f t="shared" si="472"/>
        <v>#N/A</v>
      </c>
      <c r="CA236" s="29" t="e">
        <f t="shared" si="472"/>
        <v>#N/A</v>
      </c>
      <c r="CB236" s="29" t="e">
        <f t="shared" si="472"/>
        <v>#N/A</v>
      </c>
      <c r="CC236" s="29" t="e">
        <f t="shared" si="472"/>
        <v>#N/A</v>
      </c>
      <c r="CD236" s="29" t="e">
        <f t="shared" si="472"/>
        <v>#N/A</v>
      </c>
      <c r="CE236" s="6" t="str">
        <f t="shared" si="453"/>
        <v/>
      </c>
      <c r="CF236" s="27" t="e">
        <f>IF(AND(CI236,NOT(AD236)),LOOKUP(CF$5,{0,750,1500},H236:J236),"")</f>
        <v>#N/A</v>
      </c>
      <c r="CG236" s="6" t="str">
        <f t="shared" si="454"/>
        <v/>
      </c>
      <c r="CH236" t="e">
        <f t="shared" si="473"/>
        <v>#N/A</v>
      </c>
      <c r="CI236" t="e">
        <f t="shared" si="474"/>
        <v>#N/A</v>
      </c>
      <c r="CJ236" s="6" t="e">
        <f t="shared" si="11"/>
        <v>#N/A</v>
      </c>
      <c r="CK236" s="6">
        <f t="shared" si="12"/>
        <v>1</v>
      </c>
      <c r="CL236" s="6">
        <f t="shared" si="26"/>
        <v>1</v>
      </c>
      <c r="CM236" s="6">
        <f t="shared" si="13"/>
        <v>1</v>
      </c>
      <c r="CN236" s="6">
        <f t="shared" si="14"/>
        <v>1</v>
      </c>
      <c r="CO236" s="6">
        <f t="shared" si="15"/>
        <v>0</v>
      </c>
      <c r="CP236" s="6">
        <f t="shared" si="16"/>
        <v>1</v>
      </c>
      <c r="CQ236" s="6">
        <f t="shared" si="475"/>
        <v>1</v>
      </c>
      <c r="CR236" s="81" t="str">
        <f t="shared" si="17"/>
        <v/>
      </c>
      <c r="CS236">
        <f t="shared" si="476"/>
        <v>0</v>
      </c>
      <c r="CT236">
        <f t="shared" si="19"/>
        <v>180</v>
      </c>
      <c r="CU236" t="str">
        <f t="shared" si="29"/>
        <v/>
      </c>
      <c r="CV236" s="81">
        <f t="shared" si="477"/>
        <v>180</v>
      </c>
      <c r="CW236" s="81">
        <f>(CV236/25)^1.5*(Calculator!$BU$4/10000)*CW$5</f>
        <v>49.885325635190988</v>
      </c>
      <c r="CX236" t="str">
        <f t="shared" si="478"/>
        <v>$180</v>
      </c>
    </row>
    <row r="237" spans="2:102" x14ac:dyDescent="0.25">
      <c r="B237" s="115" t="s">
        <v>233</v>
      </c>
      <c r="C237" s="13">
        <v>46237.767361111109</v>
      </c>
      <c r="D237">
        <v>28114</v>
      </c>
      <c r="E237" s="54" t="s">
        <v>237</v>
      </c>
      <c r="F237" s="54" t="s">
        <v>633</v>
      </c>
      <c r="G237" s="54" t="s">
        <v>1614</v>
      </c>
      <c r="H237" s="55">
        <v>16.2</v>
      </c>
      <c r="I237" s="55">
        <v>15.299999999999999</v>
      </c>
      <c r="J237" s="55">
        <v>14.899999999999999</v>
      </c>
      <c r="K237" s="54"/>
      <c r="L237" s="56" t="b">
        <v>0</v>
      </c>
      <c r="M237" s="56" t="b">
        <v>0</v>
      </c>
      <c r="N237" s="54">
        <v>1</v>
      </c>
      <c r="O237" s="54" t="s">
        <v>228</v>
      </c>
      <c r="P237" s="54">
        <v>15</v>
      </c>
      <c r="Q237" s="54">
        <v>18</v>
      </c>
      <c r="R237" s="54">
        <v>180</v>
      </c>
      <c r="S237" s="54" t="s">
        <v>635</v>
      </c>
      <c r="T237" s="54" t="s">
        <v>642</v>
      </c>
      <c r="U237" s="54" t="s">
        <v>637</v>
      </c>
      <c r="V237" s="54" t="s">
        <v>638</v>
      </c>
      <c r="W237" s="54" t="b">
        <v>0</v>
      </c>
      <c r="X237" s="54"/>
      <c r="Y237" s="57" t="s">
        <v>2296</v>
      </c>
      <c r="Z237" s="54" t="s">
        <v>2297</v>
      </c>
      <c r="AA237" s="54"/>
      <c r="AB237" s="54" t="s">
        <v>639</v>
      </c>
      <c r="AC237" s="56" t="b">
        <v>1</v>
      </c>
      <c r="AD237" s="56" t="b">
        <v>0</v>
      </c>
      <c r="AE237" s="54" t="s">
        <v>303</v>
      </c>
      <c r="AF237" s="58">
        <v>46235</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8.3700999999999998E-2</v>
      </c>
      <c r="BC237" s="60">
        <v>4.0599999999999996</v>
      </c>
      <c r="BD237" s="61">
        <v>6.0295000000000001E-2</v>
      </c>
      <c r="BE237" s="62" t="s">
        <v>293</v>
      </c>
      <c r="BF237" s="35">
        <f t="shared" si="467"/>
        <v>4.0600000000000005</v>
      </c>
      <c r="BG237" s="35">
        <f t="shared" si="467"/>
        <v>6.0295000000000001E-2</v>
      </c>
      <c r="BH237" s="35" t="str">
        <f t="shared" si="468"/>
        <v>Med</v>
      </c>
      <c r="BI237" s="110">
        <f t="shared" si="469"/>
        <v>0</v>
      </c>
      <c r="BJ237" s="83">
        <f>VLOOKUP($F237,REP_Info!$D$6:$H$250,5,FALSE)</f>
        <v>0.53900000000000003</v>
      </c>
      <c r="BK237" s="30">
        <f t="shared" si="470"/>
        <v>16.211599999999997</v>
      </c>
      <c r="BL237" s="30">
        <f t="shared" si="470"/>
        <v>15.305599999999998</v>
      </c>
      <c r="BM237" s="30">
        <f t="shared" si="470"/>
        <v>14.852600000000001</v>
      </c>
      <c r="BN237" s="29">
        <f t="shared" si="470"/>
        <v>14.701599999999999</v>
      </c>
      <c r="BO237" s="85" t="str">
        <f t="shared" si="2"/>
        <v>$$$</v>
      </c>
      <c r="BP237" s="88" t="str">
        <f t="shared" si="471"/>
        <v>$$$</v>
      </c>
      <c r="BQ237" s="88" t="str">
        <f t="shared" si="4"/>
        <v>$$$</v>
      </c>
      <c r="BR237" s="88" t="str">
        <f t="shared" si="5"/>
        <v>$$$</v>
      </c>
      <c r="BS237" s="29" t="e">
        <f t="shared" si="472"/>
        <v>#N/A</v>
      </c>
      <c r="BT237" s="29" t="e">
        <f t="shared" si="472"/>
        <v>#N/A</v>
      </c>
      <c r="BU237" s="29" t="e">
        <f t="shared" si="472"/>
        <v>#N/A</v>
      </c>
      <c r="BV237" s="29" t="e">
        <f t="shared" si="472"/>
        <v>#N/A</v>
      </c>
      <c r="BW237" s="29" t="e">
        <f t="shared" si="472"/>
        <v>#N/A</v>
      </c>
      <c r="BX237" s="29" t="e">
        <f t="shared" si="472"/>
        <v>#N/A</v>
      </c>
      <c r="BY237" s="29" t="e">
        <f t="shared" si="472"/>
        <v>#N/A</v>
      </c>
      <c r="BZ237" s="29" t="e">
        <f t="shared" si="472"/>
        <v>#N/A</v>
      </c>
      <c r="CA237" s="29" t="e">
        <f t="shared" si="472"/>
        <v>#N/A</v>
      </c>
      <c r="CB237" s="29" t="e">
        <f t="shared" si="472"/>
        <v>#N/A</v>
      </c>
      <c r="CC237" s="29" t="e">
        <f t="shared" si="472"/>
        <v>#N/A</v>
      </c>
      <c r="CD237" s="29" t="e">
        <f t="shared" si="472"/>
        <v>#N/A</v>
      </c>
      <c r="CE237" s="6" t="str">
        <f t="shared" si="453"/>
        <v/>
      </c>
      <c r="CF237" s="27" t="e">
        <f>IF(AND(CI237,NOT(AD237)),LOOKUP(CF$5,{0,750,1500},H237:J237),"")</f>
        <v>#N/A</v>
      </c>
      <c r="CG237" s="6" t="str">
        <f t="shared" si="454"/>
        <v/>
      </c>
      <c r="CH237" t="e">
        <f t="shared" si="473"/>
        <v>#N/A</v>
      </c>
      <c r="CI237" t="e">
        <f t="shared" si="474"/>
        <v>#N/A</v>
      </c>
      <c r="CJ237" s="6" t="e">
        <f t="shared" si="11"/>
        <v>#N/A</v>
      </c>
      <c r="CK237" s="6">
        <f t="shared" si="12"/>
        <v>1</v>
      </c>
      <c r="CL237" s="6">
        <f t="shared" si="26"/>
        <v>1</v>
      </c>
      <c r="CM237" s="6">
        <f t="shared" si="13"/>
        <v>1</v>
      </c>
      <c r="CN237" s="6">
        <f t="shared" si="14"/>
        <v>1</v>
      </c>
      <c r="CO237" s="6">
        <f t="shared" si="15"/>
        <v>0</v>
      </c>
      <c r="CP237" s="6">
        <f t="shared" si="16"/>
        <v>1</v>
      </c>
      <c r="CQ237" s="6">
        <f t="shared" si="475"/>
        <v>1</v>
      </c>
      <c r="CR237" s="81" t="str">
        <f t="shared" si="17"/>
        <v/>
      </c>
      <c r="CS237">
        <f t="shared" si="476"/>
        <v>0</v>
      </c>
      <c r="CT237">
        <f t="shared" si="19"/>
        <v>180</v>
      </c>
      <c r="CU237" t="str">
        <f t="shared" si="29"/>
        <v/>
      </c>
      <c r="CV237" s="81">
        <f t="shared" si="477"/>
        <v>180</v>
      </c>
      <c r="CW237" s="81">
        <f>(CV237/25)^1.5*(Calculator!$BU$4/10000)*CW$5</f>
        <v>49.885325635190988</v>
      </c>
      <c r="CX237" t="str">
        <f t="shared" si="478"/>
        <v>$180</v>
      </c>
    </row>
    <row r="238" spans="2:102" x14ac:dyDescent="0.25">
      <c r="B238" s="115" t="s">
        <v>233</v>
      </c>
      <c r="C238" s="13">
        <v>46232.244444444441</v>
      </c>
      <c r="D238">
        <v>30171</v>
      </c>
      <c r="E238" s="54" t="s">
        <v>235</v>
      </c>
      <c r="F238" s="54" t="s">
        <v>645</v>
      </c>
      <c r="G238" s="54" t="s">
        <v>646</v>
      </c>
      <c r="H238" s="55">
        <v>13.200000000000001</v>
      </c>
      <c r="I238" s="55">
        <v>12.3</v>
      </c>
      <c r="J238" s="55">
        <v>11.799999999999999</v>
      </c>
      <c r="K238" s="54"/>
      <c r="L238" s="56" t="b">
        <v>0</v>
      </c>
      <c r="M238" s="56" t="b">
        <v>0</v>
      </c>
      <c r="N238" s="54">
        <v>0</v>
      </c>
      <c r="O238" s="54" t="s">
        <v>238</v>
      </c>
      <c r="P238" s="54">
        <v>24</v>
      </c>
      <c r="Q238" s="54">
        <v>1</v>
      </c>
      <c r="R238" s="54">
        <v>0</v>
      </c>
      <c r="S238" s="54" t="s">
        <v>647</v>
      </c>
      <c r="T238" s="54" t="s">
        <v>648</v>
      </c>
      <c r="U238" s="54" t="s">
        <v>649</v>
      </c>
      <c r="V238" s="54" t="s">
        <v>650</v>
      </c>
      <c r="W238" s="54" t="b">
        <v>0</v>
      </c>
      <c r="X238" s="54"/>
      <c r="Y238" s="57" t="s">
        <v>2076</v>
      </c>
      <c r="Z238" s="54" t="s">
        <v>2077</v>
      </c>
      <c r="AA238" s="54"/>
      <c r="AB238" s="54" t="s">
        <v>651</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67"/>
        <v>4.9000000000000004</v>
      </c>
      <c r="BG238" s="35">
        <f t="shared" si="467"/>
        <v>5.1461E-2</v>
      </c>
      <c r="BH238" s="35" t="str">
        <f t="shared" si="468"/>
        <v>?</v>
      </c>
      <c r="BI238" s="110" t="str">
        <f t="shared" si="469"/>
        <v/>
      </c>
      <c r="BJ238" s="83">
        <f>VLOOKUP($F238,REP_Info!$D$6:$H$250,5,FALSE)</f>
        <v>0.123</v>
      </c>
      <c r="BK238" s="30" t="e">
        <f t="shared" si="470"/>
        <v>#N/A</v>
      </c>
      <c r="BL238" s="30" t="e">
        <f t="shared" si="470"/>
        <v>#N/A</v>
      </c>
      <c r="BM238" s="30" t="e">
        <f t="shared" si="470"/>
        <v>#N/A</v>
      </c>
      <c r="BN238" s="29" t="e">
        <f t="shared" si="470"/>
        <v>#N/A</v>
      </c>
      <c r="BO238" s="85" t="str">
        <f t="shared" si="2"/>
        <v>$$$</v>
      </c>
      <c r="BP238" s="88" t="str">
        <f t="shared" si="471"/>
        <v>$$$</v>
      </c>
      <c r="BQ238" s="88" t="str">
        <f t="shared" si="4"/>
        <v>$$$</v>
      </c>
      <c r="BR238" s="88" t="str">
        <f t="shared" si="5"/>
        <v>$$$</v>
      </c>
      <c r="BS238" s="29" t="e">
        <f t="shared" si="472"/>
        <v>#N/A</v>
      </c>
      <c r="BT238" s="29" t="e">
        <f t="shared" si="472"/>
        <v>#N/A</v>
      </c>
      <c r="BU238" s="29" t="e">
        <f t="shared" si="472"/>
        <v>#N/A</v>
      </c>
      <c r="BV238" s="29" t="e">
        <f t="shared" si="472"/>
        <v>#N/A</v>
      </c>
      <c r="BW238" s="29" t="e">
        <f t="shared" si="472"/>
        <v>#N/A</v>
      </c>
      <c r="BX238" s="29" t="e">
        <f t="shared" si="472"/>
        <v>#N/A</v>
      </c>
      <c r="BY238" s="29" t="e">
        <f t="shared" si="472"/>
        <v>#N/A</v>
      </c>
      <c r="BZ238" s="29" t="e">
        <f t="shared" si="472"/>
        <v>#N/A</v>
      </c>
      <c r="CA238" s="29" t="e">
        <f t="shared" si="472"/>
        <v>#N/A</v>
      </c>
      <c r="CB238" s="29" t="e">
        <f t="shared" si="472"/>
        <v>#N/A</v>
      </c>
      <c r="CC238" s="29" t="e">
        <f t="shared" si="472"/>
        <v>#N/A</v>
      </c>
      <c r="CD238" s="29" t="e">
        <f t="shared" si="472"/>
        <v>#N/A</v>
      </c>
      <c r="CE238" s="6" t="str">
        <f t="shared" si="453"/>
        <v/>
      </c>
      <c r="CF238" s="27" t="e">
        <f>IF(AND(CI238,NOT(AD238)),LOOKUP(CF$5,{0,750,1500},H238:J238),"")</f>
        <v>#N/A</v>
      </c>
      <c r="CG238" s="6" t="str">
        <f t="shared" si="454"/>
        <v/>
      </c>
      <c r="CH238" t="e">
        <f t="shared" si="473"/>
        <v>#N/A</v>
      </c>
      <c r="CI238" t="e">
        <f t="shared" si="474"/>
        <v>#N/A</v>
      </c>
      <c r="CJ238" s="6" t="e">
        <f t="shared" si="11"/>
        <v>#N/A</v>
      </c>
      <c r="CK238" s="6">
        <f t="shared" si="12"/>
        <v>1</v>
      </c>
      <c r="CL238" s="6">
        <f t="shared" si="26"/>
        <v>1</v>
      </c>
      <c r="CM238" s="6">
        <f t="shared" si="13"/>
        <v>0</v>
      </c>
      <c r="CN238" s="6">
        <f t="shared" si="14"/>
        <v>0</v>
      </c>
      <c r="CO238" s="6">
        <f t="shared" si="15"/>
        <v>1</v>
      </c>
      <c r="CP238" s="6">
        <f t="shared" si="16"/>
        <v>1</v>
      </c>
      <c r="CQ238" s="6">
        <f t="shared" si="475"/>
        <v>1</v>
      </c>
      <c r="CR238" s="81" t="str">
        <f t="shared" si="17"/>
        <v/>
      </c>
      <c r="CS238">
        <f t="shared" si="476"/>
        <v>198</v>
      </c>
      <c r="CT238">
        <f t="shared" si="19"/>
        <v>0</v>
      </c>
      <c r="CU238" t="str">
        <f t="shared" si="29"/>
        <v/>
      </c>
      <c r="CV238" s="81">
        <f t="shared" si="477"/>
        <v>0</v>
      </c>
      <c r="CW238" s="81">
        <f>(CV238/25)^1.5*(Calculator!$BU$4/10000)*CW$5</f>
        <v>0</v>
      </c>
      <c r="CX238" t="str">
        <f t="shared" si="478"/>
        <v>$0</v>
      </c>
    </row>
    <row r="239" spans="2:102" x14ac:dyDescent="0.25">
      <c r="B239" s="115" t="s">
        <v>233</v>
      </c>
      <c r="C239" s="13">
        <v>46232.244444444441</v>
      </c>
      <c r="D239">
        <v>30173</v>
      </c>
      <c r="E239" s="54" t="s">
        <v>237</v>
      </c>
      <c r="F239" s="54" t="s">
        <v>645</v>
      </c>
      <c r="G239" s="54" t="s">
        <v>646</v>
      </c>
      <c r="H239" s="55">
        <v>13.700000000000001</v>
      </c>
      <c r="I239" s="55">
        <v>12.9</v>
      </c>
      <c r="J239" s="55">
        <v>12.5</v>
      </c>
      <c r="K239" s="54"/>
      <c r="L239" s="56" t="b">
        <v>0</v>
      </c>
      <c r="M239" s="56" t="b">
        <v>0</v>
      </c>
      <c r="N239" s="54">
        <v>0</v>
      </c>
      <c r="O239" s="54" t="s">
        <v>238</v>
      </c>
      <c r="P239" s="54">
        <v>24</v>
      </c>
      <c r="Q239" s="54">
        <v>1</v>
      </c>
      <c r="R239" s="54">
        <v>0</v>
      </c>
      <c r="S239" s="54" t="s">
        <v>647</v>
      </c>
      <c r="T239" s="54" t="s">
        <v>648</v>
      </c>
      <c r="U239" s="54" t="s">
        <v>649</v>
      </c>
      <c r="V239" s="54" t="s">
        <v>650</v>
      </c>
      <c r="W239" s="54" t="b">
        <v>0</v>
      </c>
      <c r="X239" s="54"/>
      <c r="Y239" s="57" t="s">
        <v>2078</v>
      </c>
      <c r="Z239" s="54" t="s">
        <v>2079</v>
      </c>
      <c r="AA239" s="54"/>
      <c r="AB239" s="54" t="s">
        <v>651</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467"/>
        <v>4.0600000000000005</v>
      </c>
      <c r="BG239" s="35">
        <f t="shared" si="467"/>
        <v>6.0295000000000001E-2</v>
      </c>
      <c r="BH239" s="35" t="str">
        <f t="shared" si="468"/>
        <v>?</v>
      </c>
      <c r="BI239" s="110" t="str">
        <f t="shared" si="469"/>
        <v/>
      </c>
      <c r="BJ239" s="83">
        <f>VLOOKUP($F239,REP_Info!$D$6:$H$250,5,FALSE)</f>
        <v>0.123</v>
      </c>
      <c r="BK239" s="30" t="e">
        <f t="shared" si="470"/>
        <v>#N/A</v>
      </c>
      <c r="BL239" s="30" t="e">
        <f t="shared" si="470"/>
        <v>#N/A</v>
      </c>
      <c r="BM239" s="30" t="e">
        <f t="shared" si="470"/>
        <v>#N/A</v>
      </c>
      <c r="BN239" s="29" t="e">
        <f t="shared" si="470"/>
        <v>#N/A</v>
      </c>
      <c r="BO239" s="85" t="str">
        <f t="shared" si="2"/>
        <v>$$$</v>
      </c>
      <c r="BP239" s="88" t="str">
        <f t="shared" si="471"/>
        <v>$$$</v>
      </c>
      <c r="BQ239" s="88" t="str">
        <f t="shared" si="4"/>
        <v>$$$</v>
      </c>
      <c r="BR239" s="88" t="str">
        <f t="shared" si="5"/>
        <v>$$$</v>
      </c>
      <c r="BS239" s="29" t="e">
        <f t="shared" si="472"/>
        <v>#N/A</v>
      </c>
      <c r="BT239" s="29" t="e">
        <f t="shared" si="472"/>
        <v>#N/A</v>
      </c>
      <c r="BU239" s="29" t="e">
        <f t="shared" si="472"/>
        <v>#N/A</v>
      </c>
      <c r="BV239" s="29" t="e">
        <f t="shared" si="472"/>
        <v>#N/A</v>
      </c>
      <c r="BW239" s="29" t="e">
        <f t="shared" si="472"/>
        <v>#N/A</v>
      </c>
      <c r="BX239" s="29" t="e">
        <f t="shared" si="472"/>
        <v>#N/A</v>
      </c>
      <c r="BY239" s="29" t="e">
        <f t="shared" si="472"/>
        <v>#N/A</v>
      </c>
      <c r="BZ239" s="29" t="e">
        <f t="shared" si="472"/>
        <v>#N/A</v>
      </c>
      <c r="CA239" s="29" t="e">
        <f t="shared" si="472"/>
        <v>#N/A</v>
      </c>
      <c r="CB239" s="29" t="e">
        <f t="shared" si="472"/>
        <v>#N/A</v>
      </c>
      <c r="CC239" s="29" t="e">
        <f t="shared" si="472"/>
        <v>#N/A</v>
      </c>
      <c r="CD239" s="29" t="e">
        <f t="shared" si="472"/>
        <v>#N/A</v>
      </c>
      <c r="CE239" s="6" t="str">
        <f t="shared" si="453"/>
        <v/>
      </c>
      <c r="CF239" s="27" t="e">
        <f>IF(AND(CI239,NOT(AD239)),LOOKUP(CF$5,{0,750,1500},H239:J239),"")</f>
        <v>#N/A</v>
      </c>
      <c r="CG239" s="6" t="str">
        <f t="shared" si="454"/>
        <v/>
      </c>
      <c r="CH239" t="e">
        <f t="shared" si="473"/>
        <v>#N/A</v>
      </c>
      <c r="CI239" t="e">
        <f t="shared" si="474"/>
        <v>#N/A</v>
      </c>
      <c r="CJ239" s="6" t="e">
        <f t="shared" si="11"/>
        <v>#N/A</v>
      </c>
      <c r="CK239" s="6">
        <f t="shared" si="12"/>
        <v>1</v>
      </c>
      <c r="CL239" s="6">
        <f t="shared" si="26"/>
        <v>1</v>
      </c>
      <c r="CM239" s="6">
        <f t="shared" si="13"/>
        <v>0</v>
      </c>
      <c r="CN239" s="6">
        <f t="shared" si="14"/>
        <v>0</v>
      </c>
      <c r="CO239" s="6">
        <f t="shared" si="15"/>
        <v>1</v>
      </c>
      <c r="CP239" s="6">
        <f t="shared" si="16"/>
        <v>1</v>
      </c>
      <c r="CQ239" s="6">
        <f t="shared" si="475"/>
        <v>1</v>
      </c>
      <c r="CR239" s="81" t="str">
        <f t="shared" si="17"/>
        <v/>
      </c>
      <c r="CS239">
        <f t="shared" si="476"/>
        <v>198</v>
      </c>
      <c r="CT239">
        <f t="shared" si="19"/>
        <v>0</v>
      </c>
      <c r="CU239" t="str">
        <f t="shared" si="29"/>
        <v/>
      </c>
      <c r="CV239" s="81">
        <f t="shared" si="477"/>
        <v>0</v>
      </c>
      <c r="CW239" s="81">
        <f>(CV239/25)^1.5*(Calculator!$BU$4/10000)*CW$5</f>
        <v>0</v>
      </c>
      <c r="CX239" t="str">
        <f t="shared" si="478"/>
        <v>$0</v>
      </c>
    </row>
    <row r="240" spans="2:102" x14ac:dyDescent="0.25">
      <c r="B240" s="115" t="s">
        <v>233</v>
      </c>
      <c r="C240" s="13">
        <v>46232.244444444441</v>
      </c>
      <c r="D240">
        <v>30181</v>
      </c>
      <c r="E240" s="54" t="s">
        <v>235</v>
      </c>
      <c r="F240" s="54" t="s">
        <v>645</v>
      </c>
      <c r="G240" s="54" t="s">
        <v>652</v>
      </c>
      <c r="H240" s="55">
        <v>13.3</v>
      </c>
      <c r="I240" s="55">
        <v>12.4</v>
      </c>
      <c r="J240" s="55">
        <v>11.899999999999999</v>
      </c>
      <c r="K240" s="54"/>
      <c r="L240" s="56" t="b">
        <v>0</v>
      </c>
      <c r="M240" s="56" t="b">
        <v>0</v>
      </c>
      <c r="N240" s="54">
        <v>0</v>
      </c>
      <c r="O240" s="54" t="s">
        <v>238</v>
      </c>
      <c r="P240" s="54">
        <v>100</v>
      </c>
      <c r="Q240" s="54">
        <v>1</v>
      </c>
      <c r="R240" s="54">
        <v>0</v>
      </c>
      <c r="S240" s="54" t="s">
        <v>647</v>
      </c>
      <c r="T240" s="54" t="s">
        <v>653</v>
      </c>
      <c r="U240" s="54" t="s">
        <v>649</v>
      </c>
      <c r="V240" s="54" t="s">
        <v>650</v>
      </c>
      <c r="W240" s="54" t="b">
        <v>0</v>
      </c>
      <c r="X240" s="54"/>
      <c r="Y240" s="57" t="s">
        <v>2080</v>
      </c>
      <c r="Z240" s="54" t="s">
        <v>2081</v>
      </c>
      <c r="AA240" s="54"/>
      <c r="AB240" s="54" t="s">
        <v>651</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467"/>
        <v>4.9000000000000004</v>
      </c>
      <c r="BG240" s="35">
        <f t="shared" si="467"/>
        <v>5.1461E-2</v>
      </c>
      <c r="BH240" s="35" t="str">
        <f t="shared" si="468"/>
        <v>?</v>
      </c>
      <c r="BI240" s="110" t="str">
        <f t="shared" si="469"/>
        <v/>
      </c>
      <c r="BJ240" s="83">
        <f>VLOOKUP($F240,REP_Info!$D$6:$H$250,5,FALSE)</f>
        <v>0.123</v>
      </c>
      <c r="BK240" s="30" t="e">
        <f t="shared" si="470"/>
        <v>#N/A</v>
      </c>
      <c r="BL240" s="30" t="e">
        <f t="shared" si="470"/>
        <v>#N/A</v>
      </c>
      <c r="BM240" s="30" t="e">
        <f t="shared" si="470"/>
        <v>#N/A</v>
      </c>
      <c r="BN240" s="29" t="e">
        <f t="shared" si="470"/>
        <v>#N/A</v>
      </c>
      <c r="BO240" s="85" t="str">
        <f t="shared" si="2"/>
        <v>$$$</v>
      </c>
      <c r="BP240" s="88" t="str">
        <f t="shared" si="471"/>
        <v>$$$</v>
      </c>
      <c r="BQ240" s="88" t="str">
        <f t="shared" si="4"/>
        <v>$$$</v>
      </c>
      <c r="BR240" s="88" t="str">
        <f t="shared" si="5"/>
        <v>$$$</v>
      </c>
      <c r="BS240" s="29" t="e">
        <f t="shared" si="472"/>
        <v>#N/A</v>
      </c>
      <c r="BT240" s="29" t="e">
        <f t="shared" si="472"/>
        <v>#N/A</v>
      </c>
      <c r="BU240" s="29" t="e">
        <f t="shared" si="472"/>
        <v>#N/A</v>
      </c>
      <c r="BV240" s="29" t="e">
        <f t="shared" si="472"/>
        <v>#N/A</v>
      </c>
      <c r="BW240" s="29" t="e">
        <f t="shared" si="472"/>
        <v>#N/A</v>
      </c>
      <c r="BX240" s="29" t="e">
        <f t="shared" si="472"/>
        <v>#N/A</v>
      </c>
      <c r="BY240" s="29" t="e">
        <f t="shared" si="472"/>
        <v>#N/A</v>
      </c>
      <c r="BZ240" s="29" t="e">
        <f t="shared" si="472"/>
        <v>#N/A</v>
      </c>
      <c r="CA240" s="29" t="e">
        <f t="shared" si="472"/>
        <v>#N/A</v>
      </c>
      <c r="CB240" s="29" t="e">
        <f t="shared" si="472"/>
        <v>#N/A</v>
      </c>
      <c r="CC240" s="29" t="e">
        <f t="shared" si="472"/>
        <v>#N/A</v>
      </c>
      <c r="CD240" s="29" t="e">
        <f t="shared" si="472"/>
        <v>#N/A</v>
      </c>
      <c r="CE240" s="6" t="str">
        <f t="shared" si="453"/>
        <v/>
      </c>
      <c r="CF240" s="27" t="e">
        <f>IF(AND(CI240,NOT(AD240)),LOOKUP(CF$5,{0,750,1500},H240:J240),"")</f>
        <v>#N/A</v>
      </c>
      <c r="CG240" s="6" t="str">
        <f t="shared" si="454"/>
        <v/>
      </c>
      <c r="CH240" t="e">
        <f t="shared" si="473"/>
        <v>#N/A</v>
      </c>
      <c r="CI240" t="e">
        <f t="shared" si="474"/>
        <v>#N/A</v>
      </c>
      <c r="CJ240" s="6" t="e">
        <f t="shared" si="11"/>
        <v>#N/A</v>
      </c>
      <c r="CK240" s="6">
        <f t="shared" si="12"/>
        <v>1</v>
      </c>
      <c r="CL240" s="6">
        <f t="shared" si="26"/>
        <v>1</v>
      </c>
      <c r="CM240" s="6">
        <f t="shared" si="13"/>
        <v>0</v>
      </c>
      <c r="CN240" s="6">
        <f t="shared" si="14"/>
        <v>0</v>
      </c>
      <c r="CO240" s="6">
        <f t="shared" si="15"/>
        <v>1</v>
      </c>
      <c r="CP240" s="6">
        <f t="shared" si="16"/>
        <v>1</v>
      </c>
      <c r="CQ240" s="6">
        <f t="shared" si="475"/>
        <v>1</v>
      </c>
      <c r="CR240" s="81" t="str">
        <f t="shared" si="17"/>
        <v/>
      </c>
      <c r="CS240">
        <f t="shared" si="476"/>
        <v>198</v>
      </c>
      <c r="CT240">
        <f t="shared" si="19"/>
        <v>0</v>
      </c>
      <c r="CU240" t="str">
        <f t="shared" si="29"/>
        <v/>
      </c>
      <c r="CV240" s="81">
        <f t="shared" si="477"/>
        <v>0</v>
      </c>
      <c r="CW240" s="81">
        <f>(CV240/25)^1.5*(Calculator!$BU$4/10000)*CW$5</f>
        <v>0</v>
      </c>
      <c r="CX240" t="str">
        <f t="shared" si="478"/>
        <v>$0</v>
      </c>
    </row>
    <row r="241" spans="2:102" x14ac:dyDescent="0.25">
      <c r="B241" s="115" t="s">
        <v>233</v>
      </c>
      <c r="C241" s="13">
        <v>46232.244444444441</v>
      </c>
      <c r="D241">
        <v>30183</v>
      </c>
      <c r="E241" s="54" t="s">
        <v>237</v>
      </c>
      <c r="F241" s="54" t="s">
        <v>645</v>
      </c>
      <c r="G241" s="54" t="s">
        <v>652</v>
      </c>
      <c r="H241" s="55">
        <v>13.8</v>
      </c>
      <c r="I241" s="55">
        <v>13</v>
      </c>
      <c r="J241" s="55">
        <v>12.6</v>
      </c>
      <c r="K241" s="54"/>
      <c r="L241" s="56" t="b">
        <v>0</v>
      </c>
      <c r="M241" s="56" t="b">
        <v>0</v>
      </c>
      <c r="N241" s="54">
        <v>0</v>
      </c>
      <c r="O241" s="54" t="s">
        <v>238</v>
      </c>
      <c r="P241" s="54">
        <v>100</v>
      </c>
      <c r="Q241" s="54">
        <v>1</v>
      </c>
      <c r="R241" s="54">
        <v>0</v>
      </c>
      <c r="S241" s="54" t="s">
        <v>647</v>
      </c>
      <c r="T241" s="54" t="s">
        <v>653</v>
      </c>
      <c r="U241" s="54" t="s">
        <v>649</v>
      </c>
      <c r="V241" s="54" t="s">
        <v>650</v>
      </c>
      <c r="W241" s="54" t="b">
        <v>0</v>
      </c>
      <c r="X241" s="54"/>
      <c r="Y241" s="57" t="s">
        <v>2082</v>
      </c>
      <c r="Z241" s="54" t="s">
        <v>2083</v>
      </c>
      <c r="AA241" s="54"/>
      <c r="AB241" s="54" t="s">
        <v>651</v>
      </c>
      <c r="AC241" s="56" t="b">
        <v>1</v>
      </c>
      <c r="AD241" s="56" t="b">
        <v>0</v>
      </c>
      <c r="AE241" s="54"/>
      <c r="AF241" s="58"/>
      <c r="AG241" s="62" t="s">
        <v>293</v>
      </c>
      <c r="AH241" s="54"/>
      <c r="AI241" s="54"/>
      <c r="AJ241" s="54"/>
      <c r="AK241" s="54"/>
      <c r="AL241" s="54"/>
      <c r="AM241" s="54">
        <v>0</v>
      </c>
      <c r="AN241" s="54"/>
      <c r="AO241" s="54"/>
      <c r="AP241" s="54"/>
      <c r="AQ241" s="54"/>
      <c r="AR241" s="54"/>
      <c r="AS241" s="54"/>
      <c r="AT241" s="54"/>
      <c r="AU241" s="54"/>
      <c r="AV241" s="54"/>
      <c r="AW241" s="54"/>
      <c r="AX241" s="59"/>
      <c r="AY241" s="59"/>
      <c r="AZ241" s="59"/>
      <c r="BA241" s="59"/>
      <c r="BB241" s="59"/>
      <c r="BC241" s="60"/>
      <c r="BD241" s="61"/>
      <c r="BE241" s="62"/>
      <c r="BF241" s="35">
        <f t="shared" si="467"/>
        <v>4.0600000000000005</v>
      </c>
      <c r="BG241" s="35">
        <f t="shared" si="467"/>
        <v>6.0295000000000001E-2</v>
      </c>
      <c r="BH241" s="35" t="str">
        <f t="shared" si="468"/>
        <v>?</v>
      </c>
      <c r="BI241" s="110" t="str">
        <f t="shared" si="469"/>
        <v/>
      </c>
      <c r="BJ241" s="83">
        <f>VLOOKUP($F241,REP_Info!$D$6:$H$250,5,FALSE)</f>
        <v>0.123</v>
      </c>
      <c r="BK241" s="30" t="e">
        <f t="shared" si="470"/>
        <v>#N/A</v>
      </c>
      <c r="BL241" s="30" t="e">
        <f t="shared" si="470"/>
        <v>#N/A</v>
      </c>
      <c r="BM241" s="30" t="e">
        <f t="shared" si="470"/>
        <v>#N/A</v>
      </c>
      <c r="BN241" s="29" t="e">
        <f t="shared" si="470"/>
        <v>#N/A</v>
      </c>
      <c r="BO241" s="85" t="str">
        <f t="shared" si="2"/>
        <v>$$$</v>
      </c>
      <c r="BP241" s="88" t="str">
        <f t="shared" si="471"/>
        <v>$$$</v>
      </c>
      <c r="BQ241" s="88" t="str">
        <f t="shared" si="4"/>
        <v>$$$</v>
      </c>
      <c r="BR241" s="88" t="str">
        <f t="shared" si="5"/>
        <v>$$$</v>
      </c>
      <c r="BS241" s="29" t="e">
        <f t="shared" si="472"/>
        <v>#N/A</v>
      </c>
      <c r="BT241" s="29" t="e">
        <f t="shared" si="472"/>
        <v>#N/A</v>
      </c>
      <c r="BU241" s="29" t="e">
        <f t="shared" si="472"/>
        <v>#N/A</v>
      </c>
      <c r="BV241" s="29" t="e">
        <f t="shared" si="472"/>
        <v>#N/A</v>
      </c>
      <c r="BW241" s="29" t="e">
        <f t="shared" si="472"/>
        <v>#N/A</v>
      </c>
      <c r="BX241" s="29" t="e">
        <f t="shared" si="472"/>
        <v>#N/A</v>
      </c>
      <c r="BY241" s="29" t="e">
        <f t="shared" si="472"/>
        <v>#N/A</v>
      </c>
      <c r="BZ241" s="29" t="e">
        <f t="shared" si="472"/>
        <v>#N/A</v>
      </c>
      <c r="CA241" s="29" t="e">
        <f t="shared" si="472"/>
        <v>#N/A</v>
      </c>
      <c r="CB241" s="29" t="e">
        <f t="shared" si="472"/>
        <v>#N/A</v>
      </c>
      <c r="CC241" s="29" t="e">
        <f t="shared" si="472"/>
        <v>#N/A</v>
      </c>
      <c r="CD241" s="29" t="e">
        <f t="shared" si="472"/>
        <v>#N/A</v>
      </c>
      <c r="CE241" s="6" t="str">
        <f t="shared" si="453"/>
        <v/>
      </c>
      <c r="CF241" s="27" t="e">
        <f>IF(AND(CI241,NOT(AD241)),LOOKUP(CF$5,{0,750,1500},H241:J241),"")</f>
        <v>#N/A</v>
      </c>
      <c r="CG241" s="6" t="str">
        <f t="shared" si="454"/>
        <v/>
      </c>
      <c r="CH241" t="e">
        <f t="shared" si="473"/>
        <v>#N/A</v>
      </c>
      <c r="CI241" t="e">
        <f t="shared" si="474"/>
        <v>#N/A</v>
      </c>
      <c r="CJ241" s="6" t="e">
        <f t="shared" si="11"/>
        <v>#N/A</v>
      </c>
      <c r="CK241" s="6">
        <f t="shared" si="12"/>
        <v>1</v>
      </c>
      <c r="CL241" s="6">
        <f t="shared" si="26"/>
        <v>1</v>
      </c>
      <c r="CM241" s="6">
        <f t="shared" si="13"/>
        <v>0</v>
      </c>
      <c r="CN241" s="6">
        <f t="shared" si="14"/>
        <v>0</v>
      </c>
      <c r="CO241" s="6">
        <f t="shared" si="15"/>
        <v>1</v>
      </c>
      <c r="CP241" s="6">
        <f t="shared" si="16"/>
        <v>1</v>
      </c>
      <c r="CQ241" s="6">
        <f t="shared" si="475"/>
        <v>1</v>
      </c>
      <c r="CR241" s="81" t="str">
        <f t="shared" si="17"/>
        <v/>
      </c>
      <c r="CS241">
        <f t="shared" si="476"/>
        <v>198</v>
      </c>
      <c r="CT241">
        <f t="shared" si="19"/>
        <v>0</v>
      </c>
      <c r="CU241" t="str">
        <f t="shared" si="29"/>
        <v/>
      </c>
      <c r="CV241" s="81">
        <f t="shared" si="477"/>
        <v>0</v>
      </c>
      <c r="CW241" s="81">
        <f>(CV241/25)^1.5*(Calculator!$BU$4/10000)*CW$5</f>
        <v>0</v>
      </c>
      <c r="CX241" t="str">
        <f t="shared" si="478"/>
        <v>$0</v>
      </c>
    </row>
    <row r="242" spans="2:102" x14ac:dyDescent="0.25">
      <c r="B242" s="115" t="s">
        <v>233</v>
      </c>
      <c r="C242" s="13">
        <v>46232.244444444441</v>
      </c>
      <c r="D242">
        <v>30349</v>
      </c>
      <c r="E242" s="54" t="s">
        <v>235</v>
      </c>
      <c r="F242" s="54" t="s">
        <v>645</v>
      </c>
      <c r="G242" s="54" t="s">
        <v>654</v>
      </c>
      <c r="H242" s="55">
        <v>13.100000000000001</v>
      </c>
      <c r="I242" s="55">
        <v>12.2</v>
      </c>
      <c r="J242" s="55">
        <v>11.799999999999999</v>
      </c>
      <c r="K242" s="54"/>
      <c r="L242" s="56" t="b">
        <v>0</v>
      </c>
      <c r="M242" s="56" t="b">
        <v>0</v>
      </c>
      <c r="N242" s="54">
        <v>1</v>
      </c>
      <c r="O242" s="54" t="s">
        <v>228</v>
      </c>
      <c r="P242" s="54">
        <v>24</v>
      </c>
      <c r="Q242" s="54">
        <v>9</v>
      </c>
      <c r="R242" s="54">
        <v>175</v>
      </c>
      <c r="S242" s="54" t="s">
        <v>647</v>
      </c>
      <c r="T242" s="54" t="s">
        <v>648</v>
      </c>
      <c r="U242" s="54" t="s">
        <v>649</v>
      </c>
      <c r="V242" s="54" t="s">
        <v>650</v>
      </c>
      <c r="W242" s="54" t="b">
        <v>0</v>
      </c>
      <c r="X242" s="54"/>
      <c r="Y242" s="57" t="s">
        <v>2084</v>
      </c>
      <c r="Z242" s="54" t="s">
        <v>2085</v>
      </c>
      <c r="AA242" s="54"/>
      <c r="AB242" s="54" t="s">
        <v>651</v>
      </c>
      <c r="AC242" s="56" t="b">
        <v>1</v>
      </c>
      <c r="AD242" s="56" t="b">
        <v>0</v>
      </c>
      <c r="AE242" s="54" t="s">
        <v>303</v>
      </c>
      <c r="AF242" s="58">
        <v>46231</v>
      </c>
      <c r="AG242" s="62" t="s">
        <v>293</v>
      </c>
      <c r="AH242" s="54">
        <v>0</v>
      </c>
      <c r="AI242" s="54"/>
      <c r="AJ242" s="54"/>
      <c r="AK242" s="54"/>
      <c r="AL242" s="54"/>
      <c r="AM242" s="54">
        <v>4</v>
      </c>
      <c r="AN242" s="54"/>
      <c r="AO242" s="54"/>
      <c r="AP242" s="54"/>
      <c r="AQ242" s="54"/>
      <c r="AR242" s="54"/>
      <c r="AS242" s="54"/>
      <c r="AT242" s="54"/>
      <c r="AU242" s="54"/>
      <c r="AV242" s="54"/>
      <c r="AW242" s="54"/>
      <c r="AX242" s="59"/>
      <c r="AY242" s="59"/>
      <c r="AZ242" s="59"/>
      <c r="BA242" s="59"/>
      <c r="BB242" s="59">
        <v>6.1609999999999998E-2</v>
      </c>
      <c r="BC242" s="60">
        <v>4.9000000000000004</v>
      </c>
      <c r="BD242" s="61">
        <v>5.1461E-2</v>
      </c>
      <c r="BE242" s="62" t="s">
        <v>293</v>
      </c>
      <c r="BF242" s="35">
        <f t="shared" si="467"/>
        <v>4.9000000000000004</v>
      </c>
      <c r="BG242" s="35">
        <f t="shared" si="467"/>
        <v>5.1461E-2</v>
      </c>
      <c r="BH242" s="35" t="str">
        <f t="shared" si="468"/>
        <v>Med</v>
      </c>
      <c r="BI242" s="110">
        <f t="shared" si="469"/>
        <v>0</v>
      </c>
      <c r="BJ242" s="83">
        <f>VLOOKUP($F242,REP_Info!$D$6:$H$250,5,FALSE)</f>
        <v>0.123</v>
      </c>
      <c r="BK242" s="30">
        <f t="shared" si="470"/>
        <v>13.087099999999998</v>
      </c>
      <c r="BL242" s="30">
        <f t="shared" si="470"/>
        <v>12.197100000000001</v>
      </c>
      <c r="BM242" s="30">
        <f t="shared" si="470"/>
        <v>11.7521</v>
      </c>
      <c r="BN242" s="29">
        <f t="shared" si="470"/>
        <v>11.603766666666667</v>
      </c>
      <c r="BO242" s="85" t="str">
        <f t="shared" si="2"/>
        <v>$$$</v>
      </c>
      <c r="BP242" s="88" t="str">
        <f t="shared" si="471"/>
        <v>$$$</v>
      </c>
      <c r="BQ242" s="88" t="str">
        <f t="shared" si="4"/>
        <v>$$$</v>
      </c>
      <c r="BR242" s="88" t="str">
        <f t="shared" si="5"/>
        <v>$$$</v>
      </c>
      <c r="BS242" s="29" t="e">
        <f t="shared" si="472"/>
        <v>#N/A</v>
      </c>
      <c r="BT242" s="29" t="e">
        <f t="shared" si="472"/>
        <v>#N/A</v>
      </c>
      <c r="BU242" s="29" t="e">
        <f t="shared" si="472"/>
        <v>#N/A</v>
      </c>
      <c r="BV242" s="29" t="e">
        <f t="shared" si="472"/>
        <v>#N/A</v>
      </c>
      <c r="BW242" s="29" t="e">
        <f t="shared" si="472"/>
        <v>#N/A</v>
      </c>
      <c r="BX242" s="29" t="e">
        <f t="shared" si="472"/>
        <v>#N/A</v>
      </c>
      <c r="BY242" s="29" t="e">
        <f t="shared" si="472"/>
        <v>#N/A</v>
      </c>
      <c r="BZ242" s="29" t="e">
        <f t="shared" si="472"/>
        <v>#N/A</v>
      </c>
      <c r="CA242" s="29" t="e">
        <f t="shared" si="472"/>
        <v>#N/A</v>
      </c>
      <c r="CB242" s="29" t="e">
        <f t="shared" si="472"/>
        <v>#N/A</v>
      </c>
      <c r="CC242" s="29" t="e">
        <f t="shared" si="472"/>
        <v>#N/A</v>
      </c>
      <c r="CD242" s="29" t="e">
        <f t="shared" si="472"/>
        <v>#N/A</v>
      </c>
      <c r="CE242" s="6" t="str">
        <f t="shared" si="453"/>
        <v/>
      </c>
      <c r="CF242" s="27" t="e">
        <f>IF(AND(CI242,NOT(AD242)),LOOKUP(CF$5,{0,750,1500},H242:J242),"")</f>
        <v>#N/A</v>
      </c>
      <c r="CG242" s="6" t="str">
        <f t="shared" si="454"/>
        <v/>
      </c>
      <c r="CH242" t="e">
        <f t="shared" si="473"/>
        <v>#N/A</v>
      </c>
      <c r="CI242" t="e">
        <f t="shared" si="474"/>
        <v>#N/A</v>
      </c>
      <c r="CJ242" s="6" t="e">
        <f t="shared" si="11"/>
        <v>#N/A</v>
      </c>
      <c r="CK242" s="6">
        <f t="shared" si="12"/>
        <v>1</v>
      </c>
      <c r="CL242" s="6">
        <f t="shared" si="26"/>
        <v>1</v>
      </c>
      <c r="CM242" s="6">
        <f t="shared" si="13"/>
        <v>1</v>
      </c>
      <c r="CN242" s="6">
        <f t="shared" si="14"/>
        <v>0</v>
      </c>
      <c r="CO242" s="6">
        <f t="shared" si="15"/>
        <v>1</v>
      </c>
      <c r="CP242" s="6">
        <f t="shared" si="16"/>
        <v>1</v>
      </c>
      <c r="CQ242" s="6">
        <f t="shared" si="475"/>
        <v>1</v>
      </c>
      <c r="CR242" s="81" t="str">
        <f t="shared" si="17"/>
        <v/>
      </c>
      <c r="CS242">
        <f t="shared" si="476"/>
        <v>5.9999999999999982</v>
      </c>
      <c r="CT242">
        <f t="shared" si="19"/>
        <v>175</v>
      </c>
      <c r="CU242" t="str">
        <f t="shared" si="29"/>
        <v/>
      </c>
      <c r="CV242" s="81">
        <f t="shared" si="477"/>
        <v>175</v>
      </c>
      <c r="CW242" s="81">
        <f>(CV242/25)^1.5*(Calculator!$BU$4/10000)*CW$5</f>
        <v>47.821272343654172</v>
      </c>
      <c r="CX242" t="str">
        <f t="shared" si="478"/>
        <v>$175</v>
      </c>
    </row>
    <row r="243" spans="2:102" x14ac:dyDescent="0.25">
      <c r="B243" s="115" t="s">
        <v>233</v>
      </c>
      <c r="C243" s="13">
        <v>46232.244444444441</v>
      </c>
      <c r="D243">
        <v>30350</v>
      </c>
      <c r="E243" s="54" t="s">
        <v>237</v>
      </c>
      <c r="F243" s="54" t="s">
        <v>645</v>
      </c>
      <c r="G243" s="54" t="s">
        <v>654</v>
      </c>
      <c r="H243" s="55">
        <v>14.399999999999999</v>
      </c>
      <c r="I243" s="55">
        <v>13.600000000000001</v>
      </c>
      <c r="J243" s="55">
        <v>13.200000000000001</v>
      </c>
      <c r="K243" s="54"/>
      <c r="L243" s="56" t="b">
        <v>0</v>
      </c>
      <c r="M243" s="56" t="b">
        <v>0</v>
      </c>
      <c r="N243" s="54">
        <v>1</v>
      </c>
      <c r="O243" s="54" t="s">
        <v>228</v>
      </c>
      <c r="P243" s="54">
        <v>24</v>
      </c>
      <c r="Q243" s="54">
        <v>9</v>
      </c>
      <c r="R243" s="54">
        <v>175</v>
      </c>
      <c r="S243" s="54" t="s">
        <v>647</v>
      </c>
      <c r="T243" s="54" t="s">
        <v>648</v>
      </c>
      <c r="U243" s="54" t="s">
        <v>649</v>
      </c>
      <c r="V243" s="54" t="s">
        <v>650</v>
      </c>
      <c r="W243" s="54" t="b">
        <v>0</v>
      </c>
      <c r="X243" s="54"/>
      <c r="Y243" s="57" t="s">
        <v>2086</v>
      </c>
      <c r="Z243" s="54" t="s">
        <v>2087</v>
      </c>
      <c r="AA243" s="54"/>
      <c r="AB243" s="54" t="s">
        <v>651</v>
      </c>
      <c r="AC243" s="56" t="b">
        <v>1</v>
      </c>
      <c r="AD243" s="56" t="b">
        <v>0</v>
      </c>
      <c r="AE243" s="54" t="s">
        <v>303</v>
      </c>
      <c r="AF243" s="58">
        <v>46231</v>
      </c>
      <c r="AG243" s="62" t="s">
        <v>293</v>
      </c>
      <c r="AH243" s="54">
        <v>0</v>
      </c>
      <c r="AI243" s="54"/>
      <c r="AJ243" s="54"/>
      <c r="AK243" s="54"/>
      <c r="AL243" s="54"/>
      <c r="AM243" s="54">
        <v>4</v>
      </c>
      <c r="AN243" s="54"/>
      <c r="AO243" s="54"/>
      <c r="AP243" s="54"/>
      <c r="AQ243" s="54"/>
      <c r="AR243" s="54"/>
      <c r="AS243" s="54"/>
      <c r="AT243" s="54"/>
      <c r="AU243" s="54"/>
      <c r="AV243" s="54"/>
      <c r="AW243" s="54"/>
      <c r="AX243" s="59"/>
      <c r="AY243" s="59"/>
      <c r="AZ243" s="59"/>
      <c r="BA243" s="59"/>
      <c r="BB243" s="59">
        <v>6.6710000000000005E-2</v>
      </c>
      <c r="BC243" s="60">
        <v>4.0599999999999996</v>
      </c>
      <c r="BD243" s="61">
        <v>6.1196E-2</v>
      </c>
      <c r="BE243" s="62" t="s">
        <v>293</v>
      </c>
      <c r="BF243" s="35">
        <f t="shared" si="467"/>
        <v>4.0600000000000005</v>
      </c>
      <c r="BG243" s="35">
        <f t="shared" si="467"/>
        <v>6.0295000000000001E-2</v>
      </c>
      <c r="BH243" s="35" t="str">
        <f t="shared" si="468"/>
        <v>Med</v>
      </c>
      <c r="BI243" s="110">
        <f t="shared" si="469"/>
        <v>0</v>
      </c>
      <c r="BJ243" s="83">
        <f>VLOOKUP($F243,REP_Info!$D$6:$H$250,5,FALSE)</f>
        <v>0.123</v>
      </c>
      <c r="BK243" s="30">
        <f t="shared" si="470"/>
        <v>14.3125</v>
      </c>
      <c r="BL243" s="30">
        <f t="shared" si="470"/>
        <v>13.506500000000001</v>
      </c>
      <c r="BM243" s="30">
        <f t="shared" si="470"/>
        <v>13.103500000000002</v>
      </c>
      <c r="BN243" s="29">
        <f t="shared" si="470"/>
        <v>12.96916666666667</v>
      </c>
      <c r="BO243" s="85" t="str">
        <f t="shared" si="2"/>
        <v>$$$</v>
      </c>
      <c r="BP243" s="88" t="str">
        <f t="shared" si="471"/>
        <v>$$$</v>
      </c>
      <c r="BQ243" s="88" t="str">
        <f t="shared" si="4"/>
        <v>$$$</v>
      </c>
      <c r="BR243" s="88" t="str">
        <f t="shared" si="5"/>
        <v>$$$</v>
      </c>
      <c r="BS243" s="29" t="e">
        <f t="shared" si="472"/>
        <v>#N/A</v>
      </c>
      <c r="BT243" s="29" t="e">
        <f t="shared" si="472"/>
        <v>#N/A</v>
      </c>
      <c r="BU243" s="29" t="e">
        <f t="shared" si="472"/>
        <v>#N/A</v>
      </c>
      <c r="BV243" s="29" t="e">
        <f t="shared" si="472"/>
        <v>#N/A</v>
      </c>
      <c r="BW243" s="29" t="e">
        <f t="shared" si="472"/>
        <v>#N/A</v>
      </c>
      <c r="BX243" s="29" t="e">
        <f t="shared" si="472"/>
        <v>#N/A</v>
      </c>
      <c r="BY243" s="29" t="e">
        <f t="shared" si="472"/>
        <v>#N/A</v>
      </c>
      <c r="BZ243" s="29" t="e">
        <f t="shared" si="472"/>
        <v>#N/A</v>
      </c>
      <c r="CA243" s="29" t="e">
        <f t="shared" si="472"/>
        <v>#N/A</v>
      </c>
      <c r="CB243" s="29" t="e">
        <f t="shared" si="472"/>
        <v>#N/A</v>
      </c>
      <c r="CC243" s="29" t="e">
        <f t="shared" si="472"/>
        <v>#N/A</v>
      </c>
      <c r="CD243" s="29" t="e">
        <f t="shared" si="472"/>
        <v>#N/A</v>
      </c>
      <c r="CE243" s="6" t="str">
        <f t="shared" si="453"/>
        <v/>
      </c>
      <c r="CF243" s="27" t="e">
        <f>IF(AND(CI243,NOT(AD243)),LOOKUP(CF$5,{0,750,1500},H243:J243),"")</f>
        <v>#N/A</v>
      </c>
      <c r="CG243" s="6" t="str">
        <f t="shared" si="454"/>
        <v/>
      </c>
      <c r="CH243" t="e">
        <f t="shared" si="473"/>
        <v>#N/A</v>
      </c>
      <c r="CI243" t="e">
        <f t="shared" si="474"/>
        <v>#N/A</v>
      </c>
      <c r="CJ243" s="6" t="e">
        <f t="shared" si="11"/>
        <v>#N/A</v>
      </c>
      <c r="CK243" s="6">
        <f t="shared" si="12"/>
        <v>1</v>
      </c>
      <c r="CL243" s="6">
        <f t="shared" si="26"/>
        <v>1</v>
      </c>
      <c r="CM243" s="6">
        <f t="shared" si="13"/>
        <v>1</v>
      </c>
      <c r="CN243" s="6">
        <f t="shared" si="14"/>
        <v>0</v>
      </c>
      <c r="CO243" s="6">
        <f t="shared" si="15"/>
        <v>1</v>
      </c>
      <c r="CP243" s="6">
        <f t="shared" si="16"/>
        <v>1</v>
      </c>
      <c r="CQ243" s="6">
        <f t="shared" si="475"/>
        <v>1</v>
      </c>
      <c r="CR243" s="81" t="str">
        <f t="shared" si="17"/>
        <v/>
      </c>
      <c r="CS243">
        <f t="shared" si="476"/>
        <v>5.9999999999999982</v>
      </c>
      <c r="CT243">
        <f t="shared" si="19"/>
        <v>175</v>
      </c>
      <c r="CU243" t="str">
        <f t="shared" si="29"/>
        <v/>
      </c>
      <c r="CV243" s="81">
        <f t="shared" si="477"/>
        <v>175</v>
      </c>
      <c r="CW243" s="81">
        <f>(CV243/25)^1.5*(Calculator!$BU$4/10000)*CW$5</f>
        <v>47.821272343654172</v>
      </c>
      <c r="CX243" t="str">
        <f t="shared" si="478"/>
        <v>$175</v>
      </c>
    </row>
    <row r="244" spans="2:102" x14ac:dyDescent="0.25">
      <c r="B244" s="115" t="s">
        <v>233</v>
      </c>
      <c r="C244" s="13">
        <v>46232.244444444441</v>
      </c>
      <c r="D244">
        <v>30389</v>
      </c>
      <c r="E244" s="54" t="s">
        <v>235</v>
      </c>
      <c r="F244" s="54" t="s">
        <v>645</v>
      </c>
      <c r="G244" s="54" t="s">
        <v>655</v>
      </c>
      <c r="H244" s="55">
        <v>12.6</v>
      </c>
      <c r="I244" s="55">
        <v>11.700000000000001</v>
      </c>
      <c r="J244" s="55">
        <v>11.200000000000001</v>
      </c>
      <c r="K244" s="54"/>
      <c r="L244" s="56" t="b">
        <v>0</v>
      </c>
      <c r="M244" s="56" t="b">
        <v>0</v>
      </c>
      <c r="N244" s="54">
        <v>1</v>
      </c>
      <c r="O244" s="54" t="s">
        <v>228</v>
      </c>
      <c r="P244" s="54">
        <v>24</v>
      </c>
      <c r="Q244" s="54">
        <v>12</v>
      </c>
      <c r="R244" s="54">
        <v>200</v>
      </c>
      <c r="S244" s="54" t="s">
        <v>647</v>
      </c>
      <c r="T244" s="54" t="s">
        <v>648</v>
      </c>
      <c r="U244" s="54" t="s">
        <v>649</v>
      </c>
      <c r="V244" s="54" t="s">
        <v>650</v>
      </c>
      <c r="W244" s="54" t="b">
        <v>0</v>
      </c>
      <c r="X244" s="54"/>
      <c r="Y244" s="57" t="s">
        <v>2088</v>
      </c>
      <c r="Z244" s="54" t="s">
        <v>2089</v>
      </c>
      <c r="AA244" s="54"/>
      <c r="AB244" s="54" t="s">
        <v>651</v>
      </c>
      <c r="AC244" s="56" t="b">
        <v>1</v>
      </c>
      <c r="AD244" s="56" t="b">
        <v>0</v>
      </c>
      <c r="AE244" s="54" t="s">
        <v>303</v>
      </c>
      <c r="AF244" s="58">
        <v>46231</v>
      </c>
      <c r="AG244" s="62" t="s">
        <v>293</v>
      </c>
      <c r="AH244" s="54">
        <v>0</v>
      </c>
      <c r="AI244" s="54"/>
      <c r="AJ244" s="54"/>
      <c r="AK244" s="54"/>
      <c r="AL244" s="54"/>
      <c r="AM244" s="54">
        <v>4</v>
      </c>
      <c r="AN244" s="54"/>
      <c r="AO244" s="54"/>
      <c r="AP244" s="54"/>
      <c r="AQ244" s="54"/>
      <c r="AR244" s="54"/>
      <c r="AS244" s="54"/>
      <c r="AT244" s="54"/>
      <c r="AU244" s="54"/>
      <c r="AV244" s="54"/>
      <c r="AW244" s="54"/>
      <c r="AX244" s="59"/>
      <c r="AY244" s="59"/>
      <c r="AZ244" s="59"/>
      <c r="BA244" s="59"/>
      <c r="BB244" s="59">
        <v>5.6500000000000002E-2</v>
      </c>
      <c r="BC244" s="60">
        <v>4.9000000000000004</v>
      </c>
      <c r="BD244" s="61">
        <v>5.1461E-2</v>
      </c>
      <c r="BE244" s="62" t="s">
        <v>293</v>
      </c>
      <c r="BF244" s="35">
        <f t="shared" si="467"/>
        <v>4.9000000000000004</v>
      </c>
      <c r="BG244" s="35">
        <f t="shared" si="467"/>
        <v>5.1461E-2</v>
      </c>
      <c r="BH244" s="35" t="str">
        <f t="shared" si="468"/>
        <v>Med</v>
      </c>
      <c r="BI244" s="110">
        <f t="shared" si="469"/>
        <v>0</v>
      </c>
      <c r="BJ244" s="83">
        <f>VLOOKUP($F244,REP_Info!$D$6:$H$250,5,FALSE)</f>
        <v>0.123</v>
      </c>
      <c r="BK244" s="30">
        <f t="shared" si="470"/>
        <v>12.5761</v>
      </c>
      <c r="BL244" s="30">
        <f t="shared" si="470"/>
        <v>11.6861</v>
      </c>
      <c r="BM244" s="30">
        <f t="shared" si="470"/>
        <v>11.241100000000001</v>
      </c>
      <c r="BN244" s="29">
        <f t="shared" si="470"/>
        <v>11.092766666666668</v>
      </c>
      <c r="BO244" s="85" t="str">
        <f t="shared" si="2"/>
        <v>$$$</v>
      </c>
      <c r="BP244" s="88" t="str">
        <f t="shared" si="471"/>
        <v>$$$</v>
      </c>
      <c r="BQ244" s="88" t="str">
        <f t="shared" si="4"/>
        <v>$$$</v>
      </c>
      <c r="BR244" s="88" t="str">
        <f t="shared" si="5"/>
        <v>$$$</v>
      </c>
      <c r="BS244" s="29" t="e">
        <f t="shared" si="472"/>
        <v>#N/A</v>
      </c>
      <c r="BT244" s="29" t="e">
        <f t="shared" si="472"/>
        <v>#N/A</v>
      </c>
      <c r="BU244" s="29" t="e">
        <f t="shared" si="472"/>
        <v>#N/A</v>
      </c>
      <c r="BV244" s="29" t="e">
        <f t="shared" si="472"/>
        <v>#N/A</v>
      </c>
      <c r="BW244" s="29" t="e">
        <f t="shared" si="472"/>
        <v>#N/A</v>
      </c>
      <c r="BX244" s="29" t="e">
        <f t="shared" si="472"/>
        <v>#N/A</v>
      </c>
      <c r="BY244" s="29" t="e">
        <f t="shared" si="472"/>
        <v>#N/A</v>
      </c>
      <c r="BZ244" s="29" t="e">
        <f t="shared" si="472"/>
        <v>#N/A</v>
      </c>
      <c r="CA244" s="29" t="e">
        <f t="shared" si="472"/>
        <v>#N/A</v>
      </c>
      <c r="CB244" s="29" t="e">
        <f t="shared" si="472"/>
        <v>#N/A</v>
      </c>
      <c r="CC244" s="29" t="e">
        <f t="shared" si="472"/>
        <v>#N/A</v>
      </c>
      <c r="CD244" s="29" t="e">
        <f t="shared" si="472"/>
        <v>#N/A</v>
      </c>
      <c r="CE244" s="6" t="str">
        <f t="shared" si="453"/>
        <v/>
      </c>
      <c r="CF244" s="27" t="e">
        <f>IF(AND(CI244,NOT(AD244)),LOOKUP(CF$5,{0,750,1500},H244:J244),"")</f>
        <v>#N/A</v>
      </c>
      <c r="CG244" s="6" t="str">
        <f t="shared" si="454"/>
        <v/>
      </c>
      <c r="CH244" t="e">
        <f t="shared" si="473"/>
        <v>#N/A</v>
      </c>
      <c r="CI244" t="e">
        <f t="shared" si="474"/>
        <v>#N/A</v>
      </c>
      <c r="CJ244" s="6" t="e">
        <f t="shared" si="11"/>
        <v>#N/A</v>
      </c>
      <c r="CK244" s="6">
        <f t="shared" si="12"/>
        <v>1</v>
      </c>
      <c r="CL244" s="6">
        <f t="shared" si="26"/>
        <v>1</v>
      </c>
      <c r="CM244" s="6">
        <f t="shared" si="13"/>
        <v>1</v>
      </c>
      <c r="CN244" s="6">
        <f t="shared" si="14"/>
        <v>1</v>
      </c>
      <c r="CO244" s="6">
        <f t="shared" si="15"/>
        <v>1</v>
      </c>
      <c r="CP244" s="6">
        <f t="shared" si="16"/>
        <v>1</v>
      </c>
      <c r="CQ244" s="6">
        <f t="shared" si="475"/>
        <v>1</v>
      </c>
      <c r="CR244" s="81" t="str">
        <f t="shared" si="17"/>
        <v/>
      </c>
      <c r="CS244">
        <f t="shared" si="476"/>
        <v>0</v>
      </c>
      <c r="CT244">
        <f t="shared" si="19"/>
        <v>200</v>
      </c>
      <c r="CU244" t="str">
        <f t="shared" si="29"/>
        <v/>
      </c>
      <c r="CV244" s="81">
        <f t="shared" si="477"/>
        <v>200</v>
      </c>
      <c r="CW244" s="81">
        <f>(CV244/25)^1.5*(Calculator!$BU$4/10000)*CW$5</f>
        <v>58.426389194959008</v>
      </c>
      <c r="CX244" t="str">
        <f t="shared" si="478"/>
        <v>$200</v>
      </c>
    </row>
    <row r="245" spans="2:102" x14ac:dyDescent="0.25">
      <c r="B245" s="115" t="s">
        <v>233</v>
      </c>
      <c r="C245" s="13">
        <v>46232.244444444441</v>
      </c>
      <c r="D245">
        <v>30390</v>
      </c>
      <c r="E245" s="54" t="s">
        <v>237</v>
      </c>
      <c r="F245" s="54" t="s">
        <v>645</v>
      </c>
      <c r="G245" s="54" t="s">
        <v>655</v>
      </c>
      <c r="H245" s="55">
        <v>13.700000000000001</v>
      </c>
      <c r="I245" s="55">
        <v>12.9</v>
      </c>
      <c r="J245" s="55">
        <v>12.4</v>
      </c>
      <c r="K245" s="54"/>
      <c r="L245" s="56" t="b">
        <v>0</v>
      </c>
      <c r="M245" s="56" t="b">
        <v>0</v>
      </c>
      <c r="N245" s="54">
        <v>1</v>
      </c>
      <c r="O245" s="54" t="s">
        <v>228</v>
      </c>
      <c r="P245" s="54">
        <v>24</v>
      </c>
      <c r="Q245" s="54">
        <v>12</v>
      </c>
      <c r="R245" s="54">
        <v>200</v>
      </c>
      <c r="S245" s="54" t="s">
        <v>647</v>
      </c>
      <c r="T245" s="54" t="s">
        <v>648</v>
      </c>
      <c r="U245" s="54" t="s">
        <v>649</v>
      </c>
      <c r="V245" s="54" t="s">
        <v>650</v>
      </c>
      <c r="W245" s="54" t="b">
        <v>0</v>
      </c>
      <c r="X245" s="54"/>
      <c r="Y245" s="57" t="s">
        <v>2090</v>
      </c>
      <c r="Z245" s="54" t="s">
        <v>2091</v>
      </c>
      <c r="AA245" s="54"/>
      <c r="AB245" s="54" t="s">
        <v>651</v>
      </c>
      <c r="AC245" s="56" t="b">
        <v>1</v>
      </c>
      <c r="AD245" s="56" t="b">
        <v>0</v>
      </c>
      <c r="AE245" s="54" t="s">
        <v>303</v>
      </c>
      <c r="AF245" s="58">
        <v>46231</v>
      </c>
      <c r="AG245" s="62" t="s">
        <v>293</v>
      </c>
      <c r="AH245" s="54">
        <v>0</v>
      </c>
      <c r="AI245" s="54"/>
      <c r="AJ245" s="54"/>
      <c r="AK245" s="54"/>
      <c r="AL245" s="54"/>
      <c r="AM245" s="54">
        <v>4</v>
      </c>
      <c r="AN245" s="54"/>
      <c r="AO245" s="54"/>
      <c r="AP245" s="54"/>
      <c r="AQ245" s="54"/>
      <c r="AR245" s="54"/>
      <c r="AS245" s="54"/>
      <c r="AT245" s="54"/>
      <c r="AU245" s="54"/>
      <c r="AV245" s="54"/>
      <c r="AW245" s="54"/>
      <c r="AX245" s="59"/>
      <c r="AY245" s="59"/>
      <c r="AZ245" s="59"/>
      <c r="BA245" s="59"/>
      <c r="BB245" s="59">
        <v>5.926E-2</v>
      </c>
      <c r="BC245" s="60">
        <v>4.0599999999999996</v>
      </c>
      <c r="BD245" s="61">
        <v>6.1196E-2</v>
      </c>
      <c r="BE245" s="62" t="s">
        <v>293</v>
      </c>
      <c r="BF245" s="35">
        <f t="shared" si="467"/>
        <v>4.0600000000000005</v>
      </c>
      <c r="BG245" s="35">
        <f t="shared" si="467"/>
        <v>6.0295000000000001E-2</v>
      </c>
      <c r="BH245" s="35" t="str">
        <f t="shared" si="468"/>
        <v>Med</v>
      </c>
      <c r="BI245" s="110">
        <f t="shared" si="469"/>
        <v>0</v>
      </c>
      <c r="BJ245" s="83">
        <f>VLOOKUP($F245,REP_Info!$D$6:$H$250,5,FALSE)</f>
        <v>0.123</v>
      </c>
      <c r="BK245" s="30">
        <f t="shared" si="470"/>
        <v>13.567500000000003</v>
      </c>
      <c r="BL245" s="30">
        <f t="shared" si="470"/>
        <v>12.7615</v>
      </c>
      <c r="BM245" s="30">
        <f t="shared" si="470"/>
        <v>12.358499999999999</v>
      </c>
      <c r="BN245" s="29">
        <f t="shared" si="470"/>
        <v>12.224166666666667</v>
      </c>
      <c r="BO245" s="85" t="str">
        <f t="shared" si="2"/>
        <v>$$$</v>
      </c>
      <c r="BP245" s="88" t="str">
        <f t="shared" si="471"/>
        <v>$$$</v>
      </c>
      <c r="BQ245" s="88" t="str">
        <f t="shared" si="4"/>
        <v>$$$</v>
      </c>
      <c r="BR245" s="88" t="str">
        <f t="shared" si="5"/>
        <v>$$$</v>
      </c>
      <c r="BS245" s="29" t="e">
        <f t="shared" si="472"/>
        <v>#N/A</v>
      </c>
      <c r="BT245" s="29" t="e">
        <f t="shared" si="472"/>
        <v>#N/A</v>
      </c>
      <c r="BU245" s="29" t="e">
        <f t="shared" si="472"/>
        <v>#N/A</v>
      </c>
      <c r="BV245" s="29" t="e">
        <f t="shared" si="472"/>
        <v>#N/A</v>
      </c>
      <c r="BW245" s="29" t="e">
        <f t="shared" si="472"/>
        <v>#N/A</v>
      </c>
      <c r="BX245" s="29" t="e">
        <f t="shared" si="472"/>
        <v>#N/A</v>
      </c>
      <c r="BY245" s="29" t="e">
        <f t="shared" si="472"/>
        <v>#N/A</v>
      </c>
      <c r="BZ245" s="29" t="e">
        <f t="shared" si="472"/>
        <v>#N/A</v>
      </c>
      <c r="CA245" s="29" t="e">
        <f t="shared" si="472"/>
        <v>#N/A</v>
      </c>
      <c r="CB245" s="29" t="e">
        <f t="shared" si="472"/>
        <v>#N/A</v>
      </c>
      <c r="CC245" s="29" t="e">
        <f t="shared" si="472"/>
        <v>#N/A</v>
      </c>
      <c r="CD245" s="29" t="e">
        <f t="shared" si="472"/>
        <v>#N/A</v>
      </c>
      <c r="CE245" s="6" t="str">
        <f t="shared" si="453"/>
        <v/>
      </c>
      <c r="CF245" s="27" t="e">
        <f>IF(AND(CI245,NOT(AD245)),LOOKUP(CF$5,{0,750,1500},H245:J245),"")</f>
        <v>#N/A</v>
      </c>
      <c r="CG245" s="6" t="str">
        <f t="shared" si="454"/>
        <v/>
      </c>
      <c r="CH245" t="e">
        <f t="shared" si="473"/>
        <v>#N/A</v>
      </c>
      <c r="CI245" t="e">
        <f t="shared" si="474"/>
        <v>#N/A</v>
      </c>
      <c r="CJ245" s="6" t="e">
        <f t="shared" si="11"/>
        <v>#N/A</v>
      </c>
      <c r="CK245" s="6">
        <f t="shared" si="12"/>
        <v>1</v>
      </c>
      <c r="CL245" s="6">
        <f t="shared" si="26"/>
        <v>1</v>
      </c>
      <c r="CM245" s="6">
        <f t="shared" si="13"/>
        <v>1</v>
      </c>
      <c r="CN245" s="6">
        <f t="shared" si="14"/>
        <v>1</v>
      </c>
      <c r="CO245" s="6">
        <f t="shared" si="15"/>
        <v>1</v>
      </c>
      <c r="CP245" s="6">
        <f t="shared" si="16"/>
        <v>1</v>
      </c>
      <c r="CQ245" s="6">
        <f t="shared" si="475"/>
        <v>1</v>
      </c>
      <c r="CR245" s="81" t="str">
        <f t="shared" si="17"/>
        <v/>
      </c>
      <c r="CS245">
        <f t="shared" si="476"/>
        <v>0</v>
      </c>
      <c r="CT245">
        <f t="shared" si="19"/>
        <v>200</v>
      </c>
      <c r="CU245" t="str">
        <f t="shared" si="29"/>
        <v/>
      </c>
      <c r="CV245" s="81">
        <f t="shared" si="477"/>
        <v>200</v>
      </c>
      <c r="CW245" s="81">
        <f>(CV245/25)^1.5*(Calculator!$BU$4/10000)*CW$5</f>
        <v>58.426389194959008</v>
      </c>
      <c r="CX245" t="str">
        <f t="shared" si="478"/>
        <v>$200</v>
      </c>
    </row>
    <row r="246" spans="2:102" x14ac:dyDescent="0.25">
      <c r="B246" s="115" t="s">
        <v>233</v>
      </c>
      <c r="C246" s="13">
        <v>46237.767361111109</v>
      </c>
      <c r="D246">
        <v>30429</v>
      </c>
      <c r="E246" s="54" t="s">
        <v>235</v>
      </c>
      <c r="F246" s="54" t="s">
        <v>645</v>
      </c>
      <c r="G246" s="54" t="s">
        <v>656</v>
      </c>
      <c r="H246" s="55">
        <v>13.700000000000001</v>
      </c>
      <c r="I246" s="55">
        <v>12.8</v>
      </c>
      <c r="J246" s="55">
        <v>12.3</v>
      </c>
      <c r="K246" s="54"/>
      <c r="L246" s="56" t="b">
        <v>0</v>
      </c>
      <c r="M246" s="56" t="b">
        <v>0</v>
      </c>
      <c r="N246" s="54">
        <v>1</v>
      </c>
      <c r="O246" s="54" t="s">
        <v>228</v>
      </c>
      <c r="P246" s="54">
        <v>24</v>
      </c>
      <c r="Q246" s="54">
        <v>18</v>
      </c>
      <c r="R246" s="54">
        <v>250</v>
      </c>
      <c r="S246" s="54" t="s">
        <v>647</v>
      </c>
      <c r="T246" s="54" t="s">
        <v>648</v>
      </c>
      <c r="U246" s="54" t="s">
        <v>649</v>
      </c>
      <c r="V246" s="54" t="s">
        <v>650</v>
      </c>
      <c r="W246" s="54" t="b">
        <v>0</v>
      </c>
      <c r="X246" s="54"/>
      <c r="Y246" s="57" t="s">
        <v>2298</v>
      </c>
      <c r="Z246" s="54" t="s">
        <v>2299</v>
      </c>
      <c r="AA246" s="54"/>
      <c r="AB246" s="54" t="s">
        <v>651</v>
      </c>
      <c r="AC246" s="56" t="b">
        <v>1</v>
      </c>
      <c r="AD246" s="56" t="b">
        <v>0</v>
      </c>
      <c r="AE246" s="54" t="s">
        <v>303</v>
      </c>
      <c r="AF246" s="58">
        <v>46237</v>
      </c>
      <c r="AG246" s="62" t="s">
        <v>293</v>
      </c>
      <c r="AH246" s="54">
        <v>0</v>
      </c>
      <c r="AI246" s="54"/>
      <c r="AJ246" s="54"/>
      <c r="AK246" s="54"/>
      <c r="AL246" s="54"/>
      <c r="AM246" s="54">
        <v>4</v>
      </c>
      <c r="AN246" s="54"/>
      <c r="AO246" s="54"/>
      <c r="AP246" s="54"/>
      <c r="AQ246" s="54"/>
      <c r="AR246" s="54"/>
      <c r="AS246" s="54"/>
      <c r="AT246" s="54"/>
      <c r="AU246" s="54"/>
      <c r="AV246" s="54"/>
      <c r="AW246" s="54"/>
      <c r="AX246" s="59"/>
      <c r="AY246" s="59"/>
      <c r="AZ246" s="59"/>
      <c r="BA246" s="59"/>
      <c r="BB246" s="59">
        <v>6.7530000000000007E-2</v>
      </c>
      <c r="BC246" s="60">
        <v>4.9000000000000004</v>
      </c>
      <c r="BD246" s="61">
        <v>5.1461E-2</v>
      </c>
      <c r="BE246" s="62" t="s">
        <v>293</v>
      </c>
      <c r="BF246" s="35">
        <f t="shared" si="467"/>
        <v>4.9000000000000004</v>
      </c>
      <c r="BG246" s="35">
        <f t="shared" si="467"/>
        <v>5.1461E-2</v>
      </c>
      <c r="BH246" s="35" t="str">
        <f t="shared" si="468"/>
        <v>Med</v>
      </c>
      <c r="BI246" s="110">
        <f t="shared" si="469"/>
        <v>0</v>
      </c>
      <c r="BJ246" s="83">
        <f>VLOOKUP($F246,REP_Info!$D$6:$H$250,5,FALSE)</f>
        <v>0.123</v>
      </c>
      <c r="BK246" s="30">
        <f t="shared" si="470"/>
        <v>13.6791</v>
      </c>
      <c r="BL246" s="30">
        <f t="shared" si="470"/>
        <v>12.789100000000001</v>
      </c>
      <c r="BM246" s="30">
        <f t="shared" si="470"/>
        <v>12.344100000000001</v>
      </c>
      <c r="BN246" s="29">
        <f t="shared" si="470"/>
        <v>12.195766666666668</v>
      </c>
      <c r="BO246" s="85" t="str">
        <f t="shared" si="2"/>
        <v>$$$</v>
      </c>
      <c r="BP246" s="88" t="str">
        <f t="shared" si="471"/>
        <v>$$$</v>
      </c>
      <c r="BQ246" s="88" t="str">
        <f t="shared" si="4"/>
        <v>$$$</v>
      </c>
      <c r="BR246" s="88" t="str">
        <f t="shared" si="5"/>
        <v>$$$</v>
      </c>
      <c r="BS246" s="29" t="e">
        <f t="shared" si="472"/>
        <v>#N/A</v>
      </c>
      <c r="BT246" s="29" t="e">
        <f t="shared" si="472"/>
        <v>#N/A</v>
      </c>
      <c r="BU246" s="29" t="e">
        <f t="shared" si="472"/>
        <v>#N/A</v>
      </c>
      <c r="BV246" s="29" t="e">
        <f t="shared" si="472"/>
        <v>#N/A</v>
      </c>
      <c r="BW246" s="29" t="e">
        <f t="shared" si="472"/>
        <v>#N/A</v>
      </c>
      <c r="BX246" s="29" t="e">
        <f t="shared" si="472"/>
        <v>#N/A</v>
      </c>
      <c r="BY246" s="29" t="e">
        <f t="shared" si="472"/>
        <v>#N/A</v>
      </c>
      <c r="BZ246" s="29" t="e">
        <f t="shared" si="472"/>
        <v>#N/A</v>
      </c>
      <c r="CA246" s="29" t="e">
        <f t="shared" si="472"/>
        <v>#N/A</v>
      </c>
      <c r="CB246" s="29" t="e">
        <f t="shared" si="472"/>
        <v>#N/A</v>
      </c>
      <c r="CC246" s="29" t="e">
        <f t="shared" si="472"/>
        <v>#N/A</v>
      </c>
      <c r="CD246" s="29" t="e">
        <f t="shared" si="472"/>
        <v>#N/A</v>
      </c>
      <c r="CE246" s="6" t="str">
        <f t="shared" si="453"/>
        <v/>
      </c>
      <c r="CF246" s="27" t="e">
        <f>IF(AND(CI246,NOT(AD246)),LOOKUP(CF$5,{0,750,1500},H246:J246),"")</f>
        <v>#N/A</v>
      </c>
      <c r="CG246" s="6" t="str">
        <f t="shared" si="454"/>
        <v/>
      </c>
      <c r="CH246" t="e">
        <f t="shared" si="473"/>
        <v>#N/A</v>
      </c>
      <c r="CI246" t="e">
        <f t="shared" si="474"/>
        <v>#N/A</v>
      </c>
      <c r="CJ246" s="6" t="e">
        <f t="shared" si="11"/>
        <v>#N/A</v>
      </c>
      <c r="CK246" s="6">
        <f t="shared" si="12"/>
        <v>1</v>
      </c>
      <c r="CL246" s="6">
        <f t="shared" si="26"/>
        <v>1</v>
      </c>
      <c r="CM246" s="6">
        <f t="shared" si="13"/>
        <v>1</v>
      </c>
      <c r="CN246" s="6">
        <f t="shared" si="14"/>
        <v>1</v>
      </c>
      <c r="CO246" s="6">
        <f t="shared" si="15"/>
        <v>0</v>
      </c>
      <c r="CP246" s="6">
        <f t="shared" si="16"/>
        <v>1</v>
      </c>
      <c r="CQ246" s="6">
        <f t="shared" si="475"/>
        <v>1</v>
      </c>
      <c r="CR246" s="81" t="str">
        <f t="shared" si="17"/>
        <v/>
      </c>
      <c r="CS246">
        <f t="shared" si="476"/>
        <v>0</v>
      </c>
      <c r="CT246">
        <f t="shared" si="19"/>
        <v>250</v>
      </c>
      <c r="CU246" t="str">
        <f t="shared" si="29"/>
        <v/>
      </c>
      <c r="CV246" s="81">
        <f t="shared" si="477"/>
        <v>250</v>
      </c>
      <c r="CW246" s="81">
        <f>(CV246/25)^1.5*(Calculator!$BU$4/10000)*CW$5</f>
        <v>81.653361199867305</v>
      </c>
      <c r="CX246" t="str">
        <f t="shared" si="478"/>
        <v>$250</v>
      </c>
    </row>
    <row r="247" spans="2:102" x14ac:dyDescent="0.25">
      <c r="B247" s="115" t="s">
        <v>233</v>
      </c>
      <c r="C247" s="13">
        <v>46237.767361111109</v>
      </c>
      <c r="D247">
        <v>30430</v>
      </c>
      <c r="E247" s="54" t="s">
        <v>237</v>
      </c>
      <c r="F247" s="54" t="s">
        <v>645</v>
      </c>
      <c r="G247" s="54" t="s">
        <v>656</v>
      </c>
      <c r="H247" s="55">
        <v>14.899999999999999</v>
      </c>
      <c r="I247" s="55">
        <v>14.099999999999998</v>
      </c>
      <c r="J247" s="55">
        <v>13.700000000000001</v>
      </c>
      <c r="K247" s="54"/>
      <c r="L247" s="56" t="b">
        <v>0</v>
      </c>
      <c r="M247" s="56" t="b">
        <v>0</v>
      </c>
      <c r="N247" s="54">
        <v>1</v>
      </c>
      <c r="O247" s="54" t="s">
        <v>228</v>
      </c>
      <c r="P247" s="54">
        <v>24</v>
      </c>
      <c r="Q247" s="54">
        <v>18</v>
      </c>
      <c r="R247" s="54">
        <v>250</v>
      </c>
      <c r="S247" s="54" t="s">
        <v>647</v>
      </c>
      <c r="T247" s="54" t="s">
        <v>648</v>
      </c>
      <c r="U247" s="54" t="s">
        <v>649</v>
      </c>
      <c r="V247" s="54" t="s">
        <v>650</v>
      </c>
      <c r="W247" s="54" t="b">
        <v>0</v>
      </c>
      <c r="X247" s="54"/>
      <c r="Y247" s="57" t="s">
        <v>2300</v>
      </c>
      <c r="Z247" s="54" t="s">
        <v>2301</v>
      </c>
      <c r="AA247" s="54"/>
      <c r="AB247" s="54" t="s">
        <v>651</v>
      </c>
      <c r="AC247" s="56" t="b">
        <v>1</v>
      </c>
      <c r="AD247" s="56" t="b">
        <v>0</v>
      </c>
      <c r="AE247" s="54" t="s">
        <v>303</v>
      </c>
      <c r="AF247" s="58">
        <v>46237</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7.17E-2</v>
      </c>
      <c r="BC247" s="60">
        <v>4.0599999999999996</v>
      </c>
      <c r="BD247" s="61">
        <v>6.1196E-2</v>
      </c>
      <c r="BE247" s="62" t="s">
        <v>293</v>
      </c>
      <c r="BF247" s="35">
        <f t="shared" si="467"/>
        <v>4.0600000000000005</v>
      </c>
      <c r="BG247" s="35">
        <f t="shared" si="467"/>
        <v>6.0295000000000001E-2</v>
      </c>
      <c r="BH247" s="35" t="str">
        <f t="shared" si="468"/>
        <v>Med</v>
      </c>
      <c r="BI247" s="110">
        <f t="shared" si="469"/>
        <v>0</v>
      </c>
      <c r="BJ247" s="83">
        <f>VLOOKUP($F247,REP_Info!$D$6:$H$250,5,FALSE)</f>
        <v>0.123</v>
      </c>
      <c r="BK247" s="30">
        <f t="shared" si="470"/>
        <v>14.811500000000001</v>
      </c>
      <c r="BL247" s="30">
        <f t="shared" si="470"/>
        <v>14.0055</v>
      </c>
      <c r="BM247" s="30">
        <f t="shared" si="470"/>
        <v>13.602499999999999</v>
      </c>
      <c r="BN247" s="29">
        <f t="shared" si="470"/>
        <v>13.468166666666665</v>
      </c>
      <c r="BO247" s="85" t="str">
        <f t="shared" si="2"/>
        <v>$$$</v>
      </c>
      <c r="BP247" s="88" t="str">
        <f t="shared" si="471"/>
        <v>$$$</v>
      </c>
      <c r="BQ247" s="88" t="str">
        <f t="shared" si="4"/>
        <v>$$$</v>
      </c>
      <c r="BR247" s="88" t="str">
        <f t="shared" si="5"/>
        <v>$$$</v>
      </c>
      <c r="BS247" s="29" t="e">
        <f t="shared" si="472"/>
        <v>#N/A</v>
      </c>
      <c r="BT247" s="29" t="e">
        <f t="shared" si="472"/>
        <v>#N/A</v>
      </c>
      <c r="BU247" s="29" t="e">
        <f t="shared" si="472"/>
        <v>#N/A</v>
      </c>
      <c r="BV247" s="29" t="e">
        <f t="shared" si="472"/>
        <v>#N/A</v>
      </c>
      <c r="BW247" s="29" t="e">
        <f t="shared" si="472"/>
        <v>#N/A</v>
      </c>
      <c r="BX247" s="29" t="e">
        <f t="shared" si="472"/>
        <v>#N/A</v>
      </c>
      <c r="BY247" s="29" t="e">
        <f t="shared" si="472"/>
        <v>#N/A</v>
      </c>
      <c r="BZ247" s="29" t="e">
        <f t="shared" si="472"/>
        <v>#N/A</v>
      </c>
      <c r="CA247" s="29" t="e">
        <f t="shared" si="472"/>
        <v>#N/A</v>
      </c>
      <c r="CB247" s="29" t="e">
        <f t="shared" si="472"/>
        <v>#N/A</v>
      </c>
      <c r="CC247" s="29" t="e">
        <f t="shared" si="472"/>
        <v>#N/A</v>
      </c>
      <c r="CD247" s="29" t="e">
        <f t="shared" si="472"/>
        <v>#N/A</v>
      </c>
      <c r="CE247" s="6" t="str">
        <f t="shared" si="453"/>
        <v/>
      </c>
      <c r="CF247" s="27" t="e">
        <f>IF(AND(CI247,NOT(AD247)),LOOKUP(CF$5,{0,750,1500},H247:J247),"")</f>
        <v>#N/A</v>
      </c>
      <c r="CG247" s="6" t="str">
        <f t="shared" si="454"/>
        <v/>
      </c>
      <c r="CH247" t="e">
        <f t="shared" si="473"/>
        <v>#N/A</v>
      </c>
      <c r="CI247" t="e">
        <f t="shared" si="474"/>
        <v>#N/A</v>
      </c>
      <c r="CJ247" s="6" t="e">
        <f t="shared" si="11"/>
        <v>#N/A</v>
      </c>
      <c r="CK247" s="6">
        <f t="shared" si="12"/>
        <v>1</v>
      </c>
      <c r="CL247" s="6">
        <f t="shared" si="26"/>
        <v>1</v>
      </c>
      <c r="CM247" s="6">
        <f t="shared" si="13"/>
        <v>1</v>
      </c>
      <c r="CN247" s="6">
        <f t="shared" si="14"/>
        <v>1</v>
      </c>
      <c r="CO247" s="6">
        <f t="shared" si="15"/>
        <v>0</v>
      </c>
      <c r="CP247" s="6">
        <f t="shared" si="16"/>
        <v>1</v>
      </c>
      <c r="CQ247" s="6">
        <f t="shared" si="475"/>
        <v>1</v>
      </c>
      <c r="CR247" s="81" t="str">
        <f t="shared" si="17"/>
        <v/>
      </c>
      <c r="CS247">
        <f t="shared" si="476"/>
        <v>0</v>
      </c>
      <c r="CT247">
        <f t="shared" si="19"/>
        <v>250</v>
      </c>
      <c r="CU247" t="str">
        <f t="shared" si="29"/>
        <v/>
      </c>
      <c r="CV247" s="81">
        <f t="shared" si="477"/>
        <v>250</v>
      </c>
      <c r="CW247" s="81">
        <f>(CV247/25)^1.5*(Calculator!$BU$4/10000)*CW$5</f>
        <v>81.653361199867305</v>
      </c>
      <c r="CX247" t="str">
        <f t="shared" si="478"/>
        <v>$250</v>
      </c>
    </row>
    <row r="248" spans="2:102" x14ac:dyDescent="0.25">
      <c r="B248" s="115" t="s">
        <v>233</v>
      </c>
      <c r="C248" s="13">
        <v>46232.244444444441</v>
      </c>
      <c r="D248">
        <v>30506</v>
      </c>
      <c r="E248" s="54" t="s">
        <v>235</v>
      </c>
      <c r="F248" s="54" t="s">
        <v>645</v>
      </c>
      <c r="G248" s="54" t="s">
        <v>657</v>
      </c>
      <c r="H248" s="55">
        <v>13.3</v>
      </c>
      <c r="I248" s="55">
        <v>12.4</v>
      </c>
      <c r="J248" s="55">
        <v>12</v>
      </c>
      <c r="K248" s="54"/>
      <c r="L248" s="56" t="b">
        <v>0</v>
      </c>
      <c r="M248" s="56" t="b">
        <v>0</v>
      </c>
      <c r="N248" s="54">
        <v>1</v>
      </c>
      <c r="O248" s="54" t="s">
        <v>228</v>
      </c>
      <c r="P248" s="54">
        <v>24</v>
      </c>
      <c r="Q248" s="54">
        <v>24</v>
      </c>
      <c r="R248" s="54">
        <v>300</v>
      </c>
      <c r="S248" s="54" t="s">
        <v>647</v>
      </c>
      <c r="T248" s="54" t="s">
        <v>648</v>
      </c>
      <c r="U248" s="54" t="s">
        <v>649</v>
      </c>
      <c r="V248" s="54" t="s">
        <v>650</v>
      </c>
      <c r="W248" s="54" t="b">
        <v>0</v>
      </c>
      <c r="X248" s="54"/>
      <c r="Y248" s="57" t="s">
        <v>2092</v>
      </c>
      <c r="Z248" s="54" t="s">
        <v>2093</v>
      </c>
      <c r="AA248" s="54"/>
      <c r="AB248" s="54" t="s">
        <v>651</v>
      </c>
      <c r="AC248" s="56" t="b">
        <v>1</v>
      </c>
      <c r="AD248" s="56" t="b">
        <v>0</v>
      </c>
      <c r="AE248" s="54" t="s">
        <v>303</v>
      </c>
      <c r="AF248" s="58">
        <v>46231</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6.4100000000000004E-2</v>
      </c>
      <c r="BC248" s="60">
        <v>4.9000000000000004</v>
      </c>
      <c r="BD248" s="61">
        <v>5.1461E-2</v>
      </c>
      <c r="BE248" s="62" t="s">
        <v>293</v>
      </c>
      <c r="BF248" s="35">
        <f t="shared" si="467"/>
        <v>4.9000000000000004</v>
      </c>
      <c r="BG248" s="35">
        <f t="shared" si="467"/>
        <v>5.1461E-2</v>
      </c>
      <c r="BH248" s="35" t="str">
        <f t="shared" si="468"/>
        <v>Med</v>
      </c>
      <c r="BI248" s="110">
        <f t="shared" si="469"/>
        <v>0</v>
      </c>
      <c r="BJ248" s="83">
        <f>VLOOKUP($F248,REP_Info!$D$6:$H$250,5,FALSE)</f>
        <v>0.123</v>
      </c>
      <c r="BK248" s="30">
        <f t="shared" si="470"/>
        <v>13.336099999999998</v>
      </c>
      <c r="BL248" s="30">
        <f t="shared" si="470"/>
        <v>12.446100000000003</v>
      </c>
      <c r="BM248" s="30">
        <f t="shared" si="470"/>
        <v>12.001100000000001</v>
      </c>
      <c r="BN248" s="29">
        <f t="shared" si="470"/>
        <v>11.852766666666668</v>
      </c>
      <c r="BO248" s="85" t="str">
        <f t="shared" ref="BO248:BO251" si="479">IFERROR(SUMPRODUCT($BS$7:$CD$7,$BS248:$CD248)/100,"$$$")</f>
        <v>$$$</v>
      </c>
      <c r="BP248" s="88" t="str">
        <f t="shared" si="471"/>
        <v>$$$</v>
      </c>
      <c r="BQ248" s="88" t="str">
        <f t="shared" ref="BQ248:BQ251" si="480">IFERROR(SUMPRODUCT($BS$7:$CD$7,$BS248:$CD248,--($BS$4:$CD$4&lt;=$Q248))/SUMPRODUCT(--($BS$4:$CD$4&lt;=$Q248),$BS$7:$CD$7),"$$$")</f>
        <v>$$$</v>
      </c>
      <c r="BR248" s="88" t="str">
        <f t="shared" ref="BR248:BR251" si="481">IFERROR($BQ248-$BF248*100*SUMPRODUCT(--($BS$4:$CD$4&lt;=$Q248))/SUMPRODUCT(--($BS$4:$CD$4&lt;=$Q248),$BS$7:$CD$7)-$BG248*100,"$$$")</f>
        <v>$$$</v>
      </c>
      <c r="BS248" s="29" t="e">
        <f t="shared" si="472"/>
        <v>#N/A</v>
      </c>
      <c r="BT248" s="29" t="e">
        <f t="shared" si="472"/>
        <v>#N/A</v>
      </c>
      <c r="BU248" s="29" t="e">
        <f t="shared" si="472"/>
        <v>#N/A</v>
      </c>
      <c r="BV248" s="29" t="e">
        <f t="shared" si="472"/>
        <v>#N/A</v>
      </c>
      <c r="BW248" s="29" t="e">
        <f t="shared" si="472"/>
        <v>#N/A</v>
      </c>
      <c r="BX248" s="29" t="e">
        <f t="shared" si="472"/>
        <v>#N/A</v>
      </c>
      <c r="BY248" s="29" t="e">
        <f t="shared" si="472"/>
        <v>#N/A</v>
      </c>
      <c r="BZ248" s="29" t="e">
        <f t="shared" si="472"/>
        <v>#N/A</v>
      </c>
      <c r="CA248" s="29" t="e">
        <f t="shared" si="472"/>
        <v>#N/A</v>
      </c>
      <c r="CB248" s="29" t="e">
        <f t="shared" si="472"/>
        <v>#N/A</v>
      </c>
      <c r="CC248" s="29" t="e">
        <f t="shared" si="472"/>
        <v>#N/A</v>
      </c>
      <c r="CD248" s="29" t="e">
        <f t="shared" si="472"/>
        <v>#N/A</v>
      </c>
      <c r="CE248" s="6" t="str">
        <f t="shared" si="453"/>
        <v/>
      </c>
      <c r="CF248" s="27" t="e">
        <f>IF(AND(CI248,NOT(AD248)),LOOKUP(CF$5,{0,750,1500},H248:J248),"")</f>
        <v>#N/A</v>
      </c>
      <c r="CG248" s="6" t="str">
        <f t="shared" si="454"/>
        <v/>
      </c>
      <c r="CH248" t="e">
        <f t="shared" si="473"/>
        <v>#N/A</v>
      </c>
      <c r="CI248" t="e">
        <f t="shared" si="474"/>
        <v>#N/A</v>
      </c>
      <c r="CJ248" s="6" t="e">
        <f t="shared" ref="CJ248:CJ251" si="482">IF($E248=CJ$5,1,0)</f>
        <v>#N/A</v>
      </c>
      <c r="CK248" s="6">
        <f t="shared" ref="CK248:CK251" si="483">IF(CK$5="[Any]",1,IF($F248=CK$5,1,0))</f>
        <v>1</v>
      </c>
      <c r="CL248" s="6">
        <f t="shared" si="26"/>
        <v>1</v>
      </c>
      <c r="CM248" s="6">
        <f t="shared" ref="CM248:CM251" si="484">IF($O248="Fixed",1,0)</f>
        <v>1</v>
      </c>
      <c r="CN248" s="6">
        <f t="shared" ref="CN248:CN251" si="485">IF($Q248&gt;=CN$5,1,0)</f>
        <v>1</v>
      </c>
      <c r="CO248" s="6">
        <f t="shared" ref="CO248:CO251" si="486">IF($Q248&lt;=CO$5,1,0)</f>
        <v>0</v>
      </c>
      <c r="CP248" s="6">
        <f t="shared" ref="CP248:CP251" si="487">IF($P248&gt;=CP$5,1,0)</f>
        <v>1</v>
      </c>
      <c r="CQ248" s="6">
        <f t="shared" si="475"/>
        <v>1</v>
      </c>
      <c r="CR248" s="81" t="str">
        <f t="shared" ref="CR248:CR251" si="488">IF(ISNUMBER($CH248),$CH248+$CS248+$CW248,"")</f>
        <v/>
      </c>
      <c r="CS248">
        <f t="shared" si="476"/>
        <v>0</v>
      </c>
      <c r="CT248">
        <f t="shared" si="19"/>
        <v>300</v>
      </c>
      <c r="CU248" t="str">
        <f t="shared" si="29"/>
        <v/>
      </c>
      <c r="CV248" s="81">
        <f t="shared" si="477"/>
        <v>300</v>
      </c>
      <c r="CW248" s="81">
        <f>(CV248/25)^1.5*(Calculator!$BU$4/10000)*CW$5</f>
        <v>107.33613078068259</v>
      </c>
      <c r="CX248" t="str">
        <f t="shared" si="478"/>
        <v>$300</v>
      </c>
    </row>
    <row r="249" spans="2:102" x14ac:dyDescent="0.25">
      <c r="B249" s="115" t="s">
        <v>233</v>
      </c>
      <c r="C249" s="13">
        <v>46232.244444444441</v>
      </c>
      <c r="D249">
        <v>30509</v>
      </c>
      <c r="E249" s="54" t="s">
        <v>237</v>
      </c>
      <c r="F249" s="54" t="s">
        <v>645</v>
      </c>
      <c r="G249" s="54" t="s">
        <v>657</v>
      </c>
      <c r="H249" s="55">
        <v>14.2</v>
      </c>
      <c r="I249" s="55">
        <v>13.4</v>
      </c>
      <c r="J249" s="55">
        <v>13</v>
      </c>
      <c r="K249" s="54"/>
      <c r="L249" s="56" t="b">
        <v>0</v>
      </c>
      <c r="M249" s="56" t="b">
        <v>0</v>
      </c>
      <c r="N249" s="54">
        <v>1</v>
      </c>
      <c r="O249" s="54" t="s">
        <v>228</v>
      </c>
      <c r="P249" s="54">
        <v>24</v>
      </c>
      <c r="Q249" s="54">
        <v>24</v>
      </c>
      <c r="R249" s="54">
        <v>300</v>
      </c>
      <c r="S249" s="54" t="s">
        <v>647</v>
      </c>
      <c r="T249" s="54" t="s">
        <v>648</v>
      </c>
      <c r="U249" s="54" t="s">
        <v>649</v>
      </c>
      <c r="V249" s="54" t="s">
        <v>650</v>
      </c>
      <c r="W249" s="54" t="b">
        <v>0</v>
      </c>
      <c r="X249" s="54"/>
      <c r="Y249" s="57" t="s">
        <v>2094</v>
      </c>
      <c r="Z249" s="54" t="s">
        <v>2095</v>
      </c>
      <c r="AA249" s="54"/>
      <c r="AB249" s="54" t="s">
        <v>651</v>
      </c>
      <c r="AC249" s="56" t="b">
        <v>1</v>
      </c>
      <c r="AD249" s="56" t="b">
        <v>0</v>
      </c>
      <c r="AE249" s="54" t="s">
        <v>303</v>
      </c>
      <c r="AF249" s="58">
        <v>46231</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6.4320000000000002E-2</v>
      </c>
      <c r="BC249" s="60">
        <v>4.0599999999999996</v>
      </c>
      <c r="BD249" s="61">
        <v>6.1196E-2</v>
      </c>
      <c r="BE249" s="62" t="s">
        <v>293</v>
      </c>
      <c r="BF249" s="35">
        <f t="shared" si="467"/>
        <v>4.0600000000000005</v>
      </c>
      <c r="BG249" s="35">
        <f t="shared" si="467"/>
        <v>6.0295000000000001E-2</v>
      </c>
      <c r="BH249" s="35" t="str">
        <f t="shared" si="468"/>
        <v>Med</v>
      </c>
      <c r="BI249" s="110">
        <f t="shared" si="469"/>
        <v>0</v>
      </c>
      <c r="BJ249" s="83">
        <f>VLOOKUP($F249,REP_Info!$D$6:$H$250,5,FALSE)</f>
        <v>0.123</v>
      </c>
      <c r="BK249" s="30">
        <f t="shared" si="470"/>
        <v>14.073500000000001</v>
      </c>
      <c r="BL249" s="30">
        <f t="shared" si="470"/>
        <v>13.267500000000002</v>
      </c>
      <c r="BM249" s="30">
        <f t="shared" si="470"/>
        <v>12.864500000000001</v>
      </c>
      <c r="BN249" s="29">
        <f t="shared" si="470"/>
        <v>12.730166666666667</v>
      </c>
      <c r="BO249" s="85" t="str">
        <f t="shared" si="479"/>
        <v>$$$</v>
      </c>
      <c r="BP249" s="88" t="str">
        <f t="shared" si="471"/>
        <v>$$$</v>
      </c>
      <c r="BQ249" s="88" t="str">
        <f t="shared" si="480"/>
        <v>$$$</v>
      </c>
      <c r="BR249" s="88" t="str">
        <f t="shared" si="481"/>
        <v>$$$</v>
      </c>
      <c r="BS249" s="29" t="e">
        <f t="shared" si="472"/>
        <v>#N/A</v>
      </c>
      <c r="BT249" s="29" t="e">
        <f t="shared" si="472"/>
        <v>#N/A</v>
      </c>
      <c r="BU249" s="29" t="e">
        <f t="shared" si="472"/>
        <v>#N/A</v>
      </c>
      <c r="BV249" s="29" t="e">
        <f t="shared" si="472"/>
        <v>#N/A</v>
      </c>
      <c r="BW249" s="29" t="e">
        <f t="shared" si="472"/>
        <v>#N/A</v>
      </c>
      <c r="BX249" s="29" t="e">
        <f t="shared" si="472"/>
        <v>#N/A</v>
      </c>
      <c r="BY249" s="29" t="e">
        <f t="shared" si="472"/>
        <v>#N/A</v>
      </c>
      <c r="BZ249" s="29" t="e">
        <f t="shared" si="472"/>
        <v>#N/A</v>
      </c>
      <c r="CA249" s="29" t="e">
        <f t="shared" si="472"/>
        <v>#N/A</v>
      </c>
      <c r="CB249" s="29" t="e">
        <f t="shared" si="472"/>
        <v>#N/A</v>
      </c>
      <c r="CC249" s="29" t="e">
        <f t="shared" si="472"/>
        <v>#N/A</v>
      </c>
      <c r="CD249" s="29" t="e">
        <f t="shared" si="472"/>
        <v>#N/A</v>
      </c>
      <c r="CE249" s="6" t="str">
        <f t="shared" si="453"/>
        <v/>
      </c>
      <c r="CF249" s="27" t="e">
        <f>IF(AND(CI249,NOT(AD249)),LOOKUP(CF$5,{0,750,1500},H249:J249),"")</f>
        <v>#N/A</v>
      </c>
      <c r="CG249" s="6" t="str">
        <f t="shared" si="454"/>
        <v/>
      </c>
      <c r="CH249" t="e">
        <f t="shared" si="473"/>
        <v>#N/A</v>
      </c>
      <c r="CI249" t="e">
        <f t="shared" si="474"/>
        <v>#N/A</v>
      </c>
      <c r="CJ249" s="6" t="e">
        <f t="shared" si="482"/>
        <v>#N/A</v>
      </c>
      <c r="CK249" s="6">
        <f t="shared" si="483"/>
        <v>1</v>
      </c>
      <c r="CL249" s="6">
        <f t="shared" si="26"/>
        <v>1</v>
      </c>
      <c r="CM249" s="6">
        <f t="shared" si="484"/>
        <v>1</v>
      </c>
      <c r="CN249" s="6">
        <f t="shared" si="485"/>
        <v>1</v>
      </c>
      <c r="CO249" s="6">
        <f t="shared" si="486"/>
        <v>0</v>
      </c>
      <c r="CP249" s="6">
        <f t="shared" si="487"/>
        <v>1</v>
      </c>
      <c r="CQ249" s="6">
        <f t="shared" si="475"/>
        <v>1</v>
      </c>
      <c r="CR249" s="81" t="str">
        <f t="shared" si="488"/>
        <v/>
      </c>
      <c r="CS249">
        <f t="shared" si="476"/>
        <v>0</v>
      </c>
      <c r="CT249">
        <f t="shared" si="19"/>
        <v>300</v>
      </c>
      <c r="CU249" t="str">
        <f t="shared" si="29"/>
        <v/>
      </c>
      <c r="CV249" s="81">
        <f t="shared" si="477"/>
        <v>300</v>
      </c>
      <c r="CW249" s="81">
        <f>(CV249/25)^1.5*(Calculator!$BU$4/10000)*CW$5</f>
        <v>107.33613078068259</v>
      </c>
      <c r="CX249" t="str">
        <f t="shared" si="478"/>
        <v>$300</v>
      </c>
    </row>
    <row r="250" spans="2:102" x14ac:dyDescent="0.25">
      <c r="B250" s="115" t="s">
        <v>233</v>
      </c>
      <c r="C250" s="13">
        <v>46232.244444444441</v>
      </c>
      <c r="D250">
        <v>30598</v>
      </c>
      <c r="E250" s="54" t="s">
        <v>235</v>
      </c>
      <c r="F250" s="54" t="s">
        <v>645</v>
      </c>
      <c r="G250" s="54" t="s">
        <v>658</v>
      </c>
      <c r="H250" s="55">
        <v>13.900000000000002</v>
      </c>
      <c r="I250" s="55">
        <v>13</v>
      </c>
      <c r="J250" s="55">
        <v>12.6</v>
      </c>
      <c r="K250" s="54"/>
      <c r="L250" s="56" t="b">
        <v>0</v>
      </c>
      <c r="M250" s="56" t="b">
        <v>0</v>
      </c>
      <c r="N250" s="54">
        <v>1</v>
      </c>
      <c r="O250" s="54" t="s">
        <v>228</v>
      </c>
      <c r="P250" s="54">
        <v>24</v>
      </c>
      <c r="Q250" s="54">
        <v>36</v>
      </c>
      <c r="R250" s="54">
        <v>375</v>
      </c>
      <c r="S250" s="54" t="s">
        <v>647</v>
      </c>
      <c r="T250" s="54" t="s">
        <v>648</v>
      </c>
      <c r="U250" s="54" t="s">
        <v>649</v>
      </c>
      <c r="V250" s="54" t="s">
        <v>650</v>
      </c>
      <c r="W250" s="54" t="b">
        <v>0</v>
      </c>
      <c r="X250" s="54"/>
      <c r="Y250" s="57" t="s">
        <v>2096</v>
      </c>
      <c r="Z250" s="54" t="s">
        <v>2097</v>
      </c>
      <c r="AA250" s="54"/>
      <c r="AB250" s="54" t="s">
        <v>651</v>
      </c>
      <c r="AC250" s="56" t="b">
        <v>1</v>
      </c>
      <c r="AD250" s="56" t="b">
        <v>0</v>
      </c>
      <c r="AE250" s="54" t="s">
        <v>303</v>
      </c>
      <c r="AF250" s="58">
        <v>46231</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6.9680000000000006E-2</v>
      </c>
      <c r="BC250" s="60">
        <v>4.9000000000000004</v>
      </c>
      <c r="BD250" s="61">
        <v>5.1461E-2</v>
      </c>
      <c r="BE250" s="62" t="s">
        <v>293</v>
      </c>
      <c r="BF250" s="35">
        <f t="shared" si="467"/>
        <v>4.9000000000000004</v>
      </c>
      <c r="BG250" s="35">
        <f t="shared" si="467"/>
        <v>5.1461E-2</v>
      </c>
      <c r="BH250" s="35" t="str">
        <f t="shared" si="468"/>
        <v>Med</v>
      </c>
      <c r="BI250" s="110">
        <f t="shared" si="469"/>
        <v>0</v>
      </c>
      <c r="BJ250" s="83">
        <f>VLOOKUP($F250,REP_Info!$D$6:$H$250,5,FALSE)</f>
        <v>0.123</v>
      </c>
      <c r="BK250" s="30">
        <f t="shared" si="470"/>
        <v>13.8941</v>
      </c>
      <c r="BL250" s="30">
        <f t="shared" si="470"/>
        <v>13.004100000000001</v>
      </c>
      <c r="BM250" s="30">
        <f t="shared" si="470"/>
        <v>12.559100000000001</v>
      </c>
      <c r="BN250" s="29">
        <f t="shared" si="470"/>
        <v>12.410766666666667</v>
      </c>
      <c r="BO250" s="85" t="str">
        <f t="shared" si="479"/>
        <v>$$$</v>
      </c>
      <c r="BP250" s="88" t="str">
        <f t="shared" si="471"/>
        <v>$$$</v>
      </c>
      <c r="BQ250" s="88" t="str">
        <f t="shared" si="480"/>
        <v>$$$</v>
      </c>
      <c r="BR250" s="88" t="str">
        <f t="shared" si="481"/>
        <v>$$$</v>
      </c>
      <c r="BS250" s="29" t="e">
        <f t="shared" si="472"/>
        <v>#N/A</v>
      </c>
      <c r="BT250" s="29" t="e">
        <f t="shared" si="472"/>
        <v>#N/A</v>
      </c>
      <c r="BU250" s="29" t="e">
        <f t="shared" si="472"/>
        <v>#N/A</v>
      </c>
      <c r="BV250" s="29" t="e">
        <f t="shared" si="472"/>
        <v>#N/A</v>
      </c>
      <c r="BW250" s="29" t="e">
        <f t="shared" si="472"/>
        <v>#N/A</v>
      </c>
      <c r="BX250" s="29" t="e">
        <f t="shared" si="472"/>
        <v>#N/A</v>
      </c>
      <c r="BY250" s="29" t="e">
        <f t="shared" si="472"/>
        <v>#N/A</v>
      </c>
      <c r="BZ250" s="29" t="e">
        <f t="shared" si="472"/>
        <v>#N/A</v>
      </c>
      <c r="CA250" s="29" t="e">
        <f t="shared" si="472"/>
        <v>#N/A</v>
      </c>
      <c r="CB250" s="29" t="e">
        <f t="shared" si="472"/>
        <v>#N/A</v>
      </c>
      <c r="CC250" s="29" t="e">
        <f t="shared" si="472"/>
        <v>#N/A</v>
      </c>
      <c r="CD250" s="29" t="e">
        <f t="shared" si="472"/>
        <v>#N/A</v>
      </c>
      <c r="CE250" s="6" t="str">
        <f t="shared" si="453"/>
        <v/>
      </c>
      <c r="CF250" s="27" t="e">
        <f>IF(AND(CI250,NOT(AD250)),LOOKUP(CF$5,{0,750,1500},H250:J250),"")</f>
        <v>#N/A</v>
      </c>
      <c r="CG250" s="6" t="str">
        <f t="shared" si="454"/>
        <v/>
      </c>
      <c r="CH250" t="e">
        <f t="shared" si="473"/>
        <v>#N/A</v>
      </c>
      <c r="CI250" t="e">
        <f t="shared" si="474"/>
        <v>#N/A</v>
      </c>
      <c r="CJ250" s="6" t="e">
        <f t="shared" si="482"/>
        <v>#N/A</v>
      </c>
      <c r="CK250" s="6">
        <f t="shared" si="483"/>
        <v>1</v>
      </c>
      <c r="CL250" s="6">
        <f t="shared" si="26"/>
        <v>1</v>
      </c>
      <c r="CM250" s="6">
        <f t="shared" si="484"/>
        <v>1</v>
      </c>
      <c r="CN250" s="6">
        <f t="shared" si="485"/>
        <v>1</v>
      </c>
      <c r="CO250" s="6">
        <f t="shared" si="486"/>
        <v>0</v>
      </c>
      <c r="CP250" s="6">
        <f t="shared" si="487"/>
        <v>1</v>
      </c>
      <c r="CQ250" s="6">
        <f t="shared" si="475"/>
        <v>1</v>
      </c>
      <c r="CR250" s="81" t="str">
        <f t="shared" si="488"/>
        <v/>
      </c>
      <c r="CS250">
        <f t="shared" si="476"/>
        <v>0</v>
      </c>
      <c r="CT250">
        <f t="shared" si="19"/>
        <v>375</v>
      </c>
      <c r="CU250" t="str">
        <f t="shared" si="29"/>
        <v/>
      </c>
      <c r="CV250" s="81">
        <f t="shared" si="477"/>
        <v>375</v>
      </c>
      <c r="CW250" s="81">
        <f>(CV250/25)^1.5*(Calculator!$BU$4/10000)*CW$5</f>
        <v>150.00680304213355</v>
      </c>
      <c r="CX250" t="str">
        <f t="shared" si="478"/>
        <v>$375</v>
      </c>
    </row>
    <row r="251" spans="2:102" x14ac:dyDescent="0.25">
      <c r="B251" s="115" t="s">
        <v>233</v>
      </c>
      <c r="C251" s="13">
        <v>46232.244444444441</v>
      </c>
      <c r="D251">
        <v>30600</v>
      </c>
      <c r="E251" s="54" t="s">
        <v>237</v>
      </c>
      <c r="F251" s="54" t="s">
        <v>645</v>
      </c>
      <c r="G251" s="54" t="s">
        <v>658</v>
      </c>
      <c r="H251" s="55">
        <v>14.499999999999998</v>
      </c>
      <c r="I251" s="55">
        <v>13.700000000000001</v>
      </c>
      <c r="J251" s="55">
        <v>13.3</v>
      </c>
      <c r="K251" s="54"/>
      <c r="L251" s="56" t="b">
        <v>0</v>
      </c>
      <c r="M251" s="56" t="b">
        <v>0</v>
      </c>
      <c r="N251" s="54">
        <v>1</v>
      </c>
      <c r="O251" s="54" t="s">
        <v>228</v>
      </c>
      <c r="P251" s="54">
        <v>24</v>
      </c>
      <c r="Q251" s="54">
        <v>36</v>
      </c>
      <c r="R251" s="54">
        <v>375</v>
      </c>
      <c r="S251" s="54" t="s">
        <v>647</v>
      </c>
      <c r="T251" s="54" t="s">
        <v>648</v>
      </c>
      <c r="U251" s="54" t="s">
        <v>649</v>
      </c>
      <c r="V251" s="54" t="s">
        <v>650</v>
      </c>
      <c r="W251" s="54" t="b">
        <v>0</v>
      </c>
      <c r="X251" s="54"/>
      <c r="Y251" s="57" t="s">
        <v>2098</v>
      </c>
      <c r="Z251" s="54" t="s">
        <v>2099</v>
      </c>
      <c r="AA251" s="54"/>
      <c r="AB251" s="54" t="s">
        <v>651</v>
      </c>
      <c r="AC251" s="56" t="b">
        <v>1</v>
      </c>
      <c r="AD251" s="56" t="b">
        <v>0</v>
      </c>
      <c r="AE251" s="54" t="s">
        <v>303</v>
      </c>
      <c r="AF251" s="58">
        <v>46231</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6.8000000000000005E-2</v>
      </c>
      <c r="BC251" s="60">
        <v>4.0599999999999996</v>
      </c>
      <c r="BD251" s="61">
        <v>6.1196E-2</v>
      </c>
      <c r="BE251" s="62" t="s">
        <v>293</v>
      </c>
      <c r="BF251" s="35">
        <f t="shared" si="467"/>
        <v>4.0600000000000005</v>
      </c>
      <c r="BG251" s="35">
        <f t="shared" si="467"/>
        <v>6.0295000000000001E-2</v>
      </c>
      <c r="BH251" s="35" t="str">
        <f t="shared" si="468"/>
        <v>Med</v>
      </c>
      <c r="BI251" s="110">
        <f t="shared" si="469"/>
        <v>0</v>
      </c>
      <c r="BJ251" s="83">
        <f>VLOOKUP($F251,REP_Info!$D$6:$H$250,5,FALSE)</f>
        <v>0.123</v>
      </c>
      <c r="BK251" s="30">
        <f t="shared" si="470"/>
        <v>14.441500000000001</v>
      </c>
      <c r="BL251" s="30">
        <f t="shared" si="470"/>
        <v>13.635500000000002</v>
      </c>
      <c r="BM251" s="30">
        <f t="shared" si="470"/>
        <v>13.232499999999998</v>
      </c>
      <c r="BN251" s="29">
        <f t="shared" si="470"/>
        <v>13.098166666666669</v>
      </c>
      <c r="BO251" s="85" t="str">
        <f t="shared" si="479"/>
        <v>$$$</v>
      </c>
      <c r="BP251" s="88" t="str">
        <f t="shared" si="471"/>
        <v>$$$</v>
      </c>
      <c r="BQ251" s="88" t="str">
        <f t="shared" si="480"/>
        <v>$$$</v>
      </c>
      <c r="BR251" s="88" t="str">
        <f t="shared" si="481"/>
        <v>$$$</v>
      </c>
      <c r="BS251" s="29" t="e">
        <f t="shared" si="472"/>
        <v>#N/A</v>
      </c>
      <c r="BT251" s="29" t="e">
        <f t="shared" si="472"/>
        <v>#N/A</v>
      </c>
      <c r="BU251" s="29" t="e">
        <f t="shared" si="472"/>
        <v>#N/A</v>
      </c>
      <c r="BV251" s="29" t="e">
        <f t="shared" si="472"/>
        <v>#N/A</v>
      </c>
      <c r="BW251" s="29" t="e">
        <f t="shared" si="472"/>
        <v>#N/A</v>
      </c>
      <c r="BX251" s="29" t="e">
        <f t="shared" si="472"/>
        <v>#N/A</v>
      </c>
      <c r="BY251" s="29" t="e">
        <f t="shared" si="472"/>
        <v>#N/A</v>
      </c>
      <c r="BZ251" s="29" t="e">
        <f t="shared" si="472"/>
        <v>#N/A</v>
      </c>
      <c r="CA251" s="29" t="e">
        <f t="shared" si="472"/>
        <v>#N/A</v>
      </c>
      <c r="CB251" s="29" t="e">
        <f t="shared" si="472"/>
        <v>#N/A</v>
      </c>
      <c r="CC251" s="29" t="e">
        <f t="shared" si="472"/>
        <v>#N/A</v>
      </c>
      <c r="CD251" s="29" t="e">
        <f t="shared" si="472"/>
        <v>#N/A</v>
      </c>
      <c r="CE251" s="6" t="str">
        <f t="shared" si="453"/>
        <v/>
      </c>
      <c r="CF251" s="27" t="e">
        <f>IF(AND(CI251,NOT(AD251)),LOOKUP(CF$5,{0,750,1500},H251:J251),"")</f>
        <v>#N/A</v>
      </c>
      <c r="CG251" s="6" t="str">
        <f t="shared" si="454"/>
        <v/>
      </c>
      <c r="CH251" t="e">
        <f t="shared" si="473"/>
        <v>#N/A</v>
      </c>
      <c r="CI251" t="e">
        <f t="shared" si="474"/>
        <v>#N/A</v>
      </c>
      <c r="CJ251" s="6" t="e">
        <f t="shared" si="482"/>
        <v>#N/A</v>
      </c>
      <c r="CK251" s="6">
        <f t="shared" si="483"/>
        <v>1</v>
      </c>
      <c r="CL251" s="6">
        <f t="shared" si="26"/>
        <v>1</v>
      </c>
      <c r="CM251" s="6">
        <f t="shared" si="484"/>
        <v>1</v>
      </c>
      <c r="CN251" s="6">
        <f t="shared" si="485"/>
        <v>1</v>
      </c>
      <c r="CO251" s="6">
        <f t="shared" si="486"/>
        <v>0</v>
      </c>
      <c r="CP251" s="6">
        <f t="shared" si="487"/>
        <v>1</v>
      </c>
      <c r="CQ251" s="6">
        <f t="shared" si="475"/>
        <v>1</v>
      </c>
      <c r="CR251" s="81" t="str">
        <f t="shared" si="488"/>
        <v/>
      </c>
      <c r="CS251">
        <f t="shared" si="476"/>
        <v>0</v>
      </c>
      <c r="CT251">
        <f t="shared" si="19"/>
        <v>375</v>
      </c>
      <c r="CU251" t="str">
        <f t="shared" si="29"/>
        <v/>
      </c>
      <c r="CV251" s="81">
        <f t="shared" si="477"/>
        <v>375</v>
      </c>
      <c r="CW251" s="81">
        <f>(CV251/25)^1.5*(Calculator!$BU$4/10000)*CW$5</f>
        <v>150.00680304213355</v>
      </c>
      <c r="CX251" t="str">
        <f t="shared" si="478"/>
        <v>$375</v>
      </c>
    </row>
    <row r="252" spans="2:102" x14ac:dyDescent="0.25">
      <c r="B252" s="115" t="s">
        <v>233</v>
      </c>
      <c r="C252" s="13">
        <v>46232.244444444441</v>
      </c>
      <c r="D252">
        <v>31143</v>
      </c>
      <c r="E252" s="54" t="s">
        <v>235</v>
      </c>
      <c r="F252" s="54" t="s">
        <v>645</v>
      </c>
      <c r="G252" s="54" t="s">
        <v>659</v>
      </c>
      <c r="H252" s="55">
        <v>13.100000000000001</v>
      </c>
      <c r="I252" s="55">
        <v>12.3</v>
      </c>
      <c r="J252" s="55">
        <v>11.899999999999999</v>
      </c>
      <c r="K252" s="54"/>
      <c r="L252" s="56" t="b">
        <v>0</v>
      </c>
      <c r="M252" s="56" t="b">
        <v>0</v>
      </c>
      <c r="N252" s="54">
        <v>0</v>
      </c>
      <c r="O252" s="54" t="s">
        <v>238</v>
      </c>
      <c r="P252" s="54">
        <v>24</v>
      </c>
      <c r="Q252" s="54">
        <v>1</v>
      </c>
      <c r="R252" s="54">
        <v>0</v>
      </c>
      <c r="S252" s="54" t="s">
        <v>647</v>
      </c>
      <c r="T252" s="54" t="s">
        <v>648</v>
      </c>
      <c r="U252" s="54" t="s">
        <v>649</v>
      </c>
      <c r="V252" s="54" t="s">
        <v>650</v>
      </c>
      <c r="W252" s="54" t="b">
        <v>0</v>
      </c>
      <c r="X252" s="54"/>
      <c r="Y252" s="57" t="s">
        <v>2100</v>
      </c>
      <c r="Z252" s="54" t="s">
        <v>2101</v>
      </c>
      <c r="AA252" s="54"/>
      <c r="AB252" s="54" t="s">
        <v>651</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ref="BF252:BG261" si="489">IF($E252=$E$4,BF$4,IF($E252=$E$5,BF$5,""))</f>
        <v>4.9000000000000004</v>
      </c>
      <c r="BG252" s="35">
        <f t="shared" si="489"/>
        <v>5.1461E-2</v>
      </c>
      <c r="BH252" s="35" t="str">
        <f t="shared" ref="BH252:BH261" si="490">IF(ISTEXT(BE252),IF(AND(AV252=0,SUM(AN252:AQ252)=0),IF(AM252&lt;=0,IF(BE252="Y","Low","Flat"),"Med"),"High"),"?")</f>
        <v>?</v>
      </c>
      <c r="BI252" s="110" t="str">
        <f t="shared" ref="BI252:BI261" si="491">IF(ISNUMBER(AH252),0*BI$5*SIN((EDATE($A$3,$Q252)-DATE(YEAR(EDATE($A$3,$Q252)),1,0)-BI$4)*2*PI()/365),"")</f>
        <v/>
      </c>
      <c r="BJ252" s="83">
        <f>VLOOKUP($F252,REP_Info!$D$6:$H$250,5,FALSE)</f>
        <v>0.123</v>
      </c>
      <c r="BK252" s="30" t="e">
        <f t="shared" ref="BK252:BN261" si="492">IF(BK$7&gt;0,(LOOKUP(BK$7,$AH252:$AL252,$AM252:$AQ252)+IF($AG252="Y",SUMPRODUCT($AX252:$BB252-$AW252:$BA252,BK$7-$AR252:$AV252,N(BK$7&gt;$AR252:$AV252)),BK$7*LOOKUP(BK$7,$AR252:$AV252,$AX252:$BB252))+IF($BE252="Y",$BF252,$BC252)+BK$7*IF($BE252="Y",$BG252,$BD252))*100/BK$7,"")</f>
        <v>#N/A</v>
      </c>
      <c r="BL252" s="30" t="e">
        <f t="shared" si="492"/>
        <v>#N/A</v>
      </c>
      <c r="BM252" s="30" t="e">
        <f t="shared" si="492"/>
        <v>#N/A</v>
      </c>
      <c r="BN252" s="29" t="e">
        <f t="shared" si="492"/>
        <v>#N/A</v>
      </c>
      <c r="BO252" s="85" t="str">
        <f t="shared" si="2"/>
        <v>$$$</v>
      </c>
      <c r="BP252" s="88" t="str">
        <f t="shared" ref="BP252:BP261" si="493">IFERROR(BO252*100/BO$5,"$$$")</f>
        <v>$$$</v>
      </c>
      <c r="BQ252" s="88" t="str">
        <f t="shared" si="4"/>
        <v>$$$</v>
      </c>
      <c r="BR252" s="88" t="str">
        <f t="shared" si="5"/>
        <v>$$$</v>
      </c>
      <c r="BS252" s="29" t="e">
        <f t="shared" ref="BS252:CD261" si="494">IF($CI252,IF(BS$7&gt;0,IF(BS$4&gt;$Q252,$BF252+BS$7*(BS$5+$BG252+$BI252),LOOKUP(BS$7,$AH252:$AL252,$AM252:$AQ252)+IF($AG252="Y",SUMPRODUCT($AX252:$BB252-$AW252:$BA252,BS$7-$AR252:$AV252,N(BS$7&gt;$AR252:$AV252)),BS$7*LOOKUP(BS$7,$AR252:$AV252,$AX252:$BB252))+IF($BE252="Y",$BF252,$BC252)+BS$7*IF($BE252="Y",$BG252,$BD252))*100/BS$7,""),NA())</f>
        <v>#N/A</v>
      </c>
      <c r="BT252" s="29" t="e">
        <f t="shared" si="494"/>
        <v>#N/A</v>
      </c>
      <c r="BU252" s="29" t="e">
        <f t="shared" si="494"/>
        <v>#N/A</v>
      </c>
      <c r="BV252" s="29" t="e">
        <f t="shared" si="494"/>
        <v>#N/A</v>
      </c>
      <c r="BW252" s="29" t="e">
        <f t="shared" si="494"/>
        <v>#N/A</v>
      </c>
      <c r="BX252" s="29" t="e">
        <f t="shared" si="494"/>
        <v>#N/A</v>
      </c>
      <c r="BY252" s="29" t="e">
        <f t="shared" si="494"/>
        <v>#N/A</v>
      </c>
      <c r="BZ252" s="29" t="e">
        <f t="shared" si="494"/>
        <v>#N/A</v>
      </c>
      <c r="CA252" s="29" t="e">
        <f t="shared" si="494"/>
        <v>#N/A</v>
      </c>
      <c r="CB252" s="29" t="e">
        <f t="shared" si="494"/>
        <v>#N/A</v>
      </c>
      <c r="CC252" s="29" t="e">
        <f t="shared" si="494"/>
        <v>#N/A</v>
      </c>
      <c r="CD252" s="29" t="e">
        <f t="shared" si="494"/>
        <v>#N/A</v>
      </c>
      <c r="CE252" s="6" t="str">
        <f t="shared" si="453"/>
        <v/>
      </c>
      <c r="CF252" s="27" t="e">
        <f>IF(AND(CI252,NOT(AD252)),LOOKUP(CF$5,{0,750,1500},H252:J252),"")</f>
        <v>#N/A</v>
      </c>
      <c r="CG252" s="6" t="str">
        <f t="shared" si="454"/>
        <v/>
      </c>
      <c r="CH252" t="e">
        <f t="shared" ref="CH252:CH261" si="495">IF(CI252,IF(ISNUMBER(BO252),BO252,100000)+CV252/10000+IF(ISNUMBER(BJ252),BJ252,2)/10000-P252/100000+ROW()/10000000,"")</f>
        <v>#N/A</v>
      </c>
      <c r="CI252" t="e">
        <f t="shared" ref="CI252:CI261" si="496">PRODUCT(CJ252:CQ252)</f>
        <v>#N/A</v>
      </c>
      <c r="CJ252" s="6" t="e">
        <f t="shared" si="11"/>
        <v>#N/A</v>
      </c>
      <c r="CK252" s="6">
        <f t="shared" si="12"/>
        <v>1</v>
      </c>
      <c r="CL252" s="6">
        <f t="shared" si="26"/>
        <v>1</v>
      </c>
      <c r="CM252" s="6">
        <f t="shared" si="13"/>
        <v>0</v>
      </c>
      <c r="CN252" s="6">
        <f t="shared" si="14"/>
        <v>0</v>
      </c>
      <c r="CO252" s="6">
        <f t="shared" si="15"/>
        <v>1</v>
      </c>
      <c r="CP252" s="6">
        <f t="shared" si="16"/>
        <v>1</v>
      </c>
      <c r="CQ252" s="6">
        <f t="shared" ref="CQ252:CQ261" si="497">IF(CQ$5="Any",1,IF(AND(CQ$5="Med",AV252=0,SUM(AN252:AQ252)=0),1,IF(AND(CQ$5="Low",AV252=0,SUM(AN252:AQ252)=0,AM252=0),1,IF(AND(CQ$5="Flat",AV252=0,SUM(AN252:AQ252)=0,AM252=0,IFERROR(NOT(BE252="Y"),0)),1,0))))</f>
        <v>1</v>
      </c>
      <c r="CR252" s="81" t="str">
        <f t="shared" si="17"/>
        <v/>
      </c>
      <c r="CS252">
        <f t="shared" ref="CS252:CS261" si="498">CS$5*(12/(MIN(12,Q252))-1)</f>
        <v>198</v>
      </c>
      <c r="CT252">
        <f t="shared" si="19"/>
        <v>0</v>
      </c>
      <c r="CU252" t="str">
        <f t="shared" si="29"/>
        <v/>
      </c>
      <c r="CV252" s="81">
        <f t="shared" ref="CV252:CV261" si="499">CT252*IF(CU252="",1,Q252)</f>
        <v>0</v>
      </c>
      <c r="CW252" s="81">
        <f>(CV252/25)^1.5*(Calculator!$BU$4/10000)*CW$5</f>
        <v>0</v>
      </c>
      <c r="CX252" t="str">
        <f t="shared" ref="CX252:CX261" si="500">"$"&amp;IF(LEFT(CU252,1)="r",CT252&amp;"/"&amp;CU252,CV252)</f>
        <v>$0</v>
      </c>
    </row>
    <row r="253" spans="2:102" x14ac:dyDescent="0.25">
      <c r="B253" s="115" t="s">
        <v>233</v>
      </c>
      <c r="C253" s="13">
        <v>46232.244444444441</v>
      </c>
      <c r="D253">
        <v>31144</v>
      </c>
      <c r="E253" s="54" t="s">
        <v>237</v>
      </c>
      <c r="F253" s="54" t="s">
        <v>645</v>
      </c>
      <c r="G253" s="54" t="s">
        <v>659</v>
      </c>
      <c r="H253" s="55">
        <v>13.600000000000001</v>
      </c>
      <c r="I253" s="55">
        <v>12.9</v>
      </c>
      <c r="J253" s="55">
        <v>12.5</v>
      </c>
      <c r="K253" s="54"/>
      <c r="L253" s="56" t="b">
        <v>0</v>
      </c>
      <c r="M253" s="56" t="b">
        <v>0</v>
      </c>
      <c r="N253" s="54">
        <v>0</v>
      </c>
      <c r="O253" s="54" t="s">
        <v>238</v>
      </c>
      <c r="P253" s="54">
        <v>24</v>
      </c>
      <c r="Q253" s="54">
        <v>1</v>
      </c>
      <c r="R253" s="54">
        <v>0</v>
      </c>
      <c r="S253" s="54" t="s">
        <v>647</v>
      </c>
      <c r="T253" s="54" t="s">
        <v>648</v>
      </c>
      <c r="U253" s="54" t="s">
        <v>649</v>
      </c>
      <c r="V253" s="54" t="s">
        <v>650</v>
      </c>
      <c r="W253" s="54" t="b">
        <v>0</v>
      </c>
      <c r="X253" s="54"/>
      <c r="Y253" s="57" t="s">
        <v>2102</v>
      </c>
      <c r="Z253" s="54" t="s">
        <v>2103</v>
      </c>
      <c r="AA253" s="54"/>
      <c r="AB253" s="54" t="s">
        <v>651</v>
      </c>
      <c r="AC253" s="56" t="b">
        <v>1</v>
      </c>
      <c r="AD253" s="56" t="b">
        <v>0</v>
      </c>
      <c r="AE253" s="54"/>
      <c r="AF253" s="58"/>
      <c r="AG253" s="62" t="s">
        <v>293</v>
      </c>
      <c r="AH253" s="54"/>
      <c r="AI253" s="54"/>
      <c r="AJ253" s="54"/>
      <c r="AK253" s="54"/>
      <c r="AL253" s="54"/>
      <c r="AM253" s="54">
        <v>0</v>
      </c>
      <c r="AN253" s="54"/>
      <c r="AO253" s="54"/>
      <c r="AP253" s="54"/>
      <c r="AQ253" s="54"/>
      <c r="AR253" s="54"/>
      <c r="AS253" s="54"/>
      <c r="AT253" s="54"/>
      <c r="AU253" s="54"/>
      <c r="AV253" s="54"/>
      <c r="AW253" s="54"/>
      <c r="AX253" s="59"/>
      <c r="AY253" s="59"/>
      <c r="AZ253" s="59"/>
      <c r="BA253" s="59"/>
      <c r="BB253" s="59"/>
      <c r="BC253" s="60"/>
      <c r="BD253" s="61"/>
      <c r="BE253" s="62"/>
      <c r="BF253" s="35">
        <f t="shared" si="489"/>
        <v>4.0600000000000005</v>
      </c>
      <c r="BG253" s="35">
        <f t="shared" si="489"/>
        <v>6.0295000000000001E-2</v>
      </c>
      <c r="BH253" s="35" t="str">
        <f t="shared" si="490"/>
        <v>?</v>
      </c>
      <c r="BI253" s="110" t="str">
        <f t="shared" si="491"/>
        <v/>
      </c>
      <c r="BJ253" s="83">
        <f>VLOOKUP($F253,REP_Info!$D$6:$H$250,5,FALSE)</f>
        <v>0.123</v>
      </c>
      <c r="BK253" s="30" t="e">
        <f t="shared" si="492"/>
        <v>#N/A</v>
      </c>
      <c r="BL253" s="30" t="e">
        <f t="shared" si="492"/>
        <v>#N/A</v>
      </c>
      <c r="BM253" s="30" t="e">
        <f t="shared" si="492"/>
        <v>#N/A</v>
      </c>
      <c r="BN253" s="29" t="e">
        <f t="shared" si="492"/>
        <v>#N/A</v>
      </c>
      <c r="BO253" s="85" t="str">
        <f t="shared" si="2"/>
        <v>$$$</v>
      </c>
      <c r="BP253" s="88" t="str">
        <f t="shared" si="493"/>
        <v>$$$</v>
      </c>
      <c r="BQ253" s="88" t="str">
        <f t="shared" si="4"/>
        <v>$$$</v>
      </c>
      <c r="BR253" s="88" t="str">
        <f t="shared" si="5"/>
        <v>$$$</v>
      </c>
      <c r="BS253" s="29" t="e">
        <f t="shared" si="494"/>
        <v>#N/A</v>
      </c>
      <c r="BT253" s="29" t="e">
        <f t="shared" si="494"/>
        <v>#N/A</v>
      </c>
      <c r="BU253" s="29" t="e">
        <f t="shared" si="494"/>
        <v>#N/A</v>
      </c>
      <c r="BV253" s="29" t="e">
        <f t="shared" si="494"/>
        <v>#N/A</v>
      </c>
      <c r="BW253" s="29" t="e">
        <f t="shared" si="494"/>
        <v>#N/A</v>
      </c>
      <c r="BX253" s="29" t="e">
        <f t="shared" si="494"/>
        <v>#N/A</v>
      </c>
      <c r="BY253" s="29" t="e">
        <f t="shared" si="494"/>
        <v>#N/A</v>
      </c>
      <c r="BZ253" s="29" t="e">
        <f t="shared" si="494"/>
        <v>#N/A</v>
      </c>
      <c r="CA253" s="29" t="e">
        <f t="shared" si="494"/>
        <v>#N/A</v>
      </c>
      <c r="CB253" s="29" t="e">
        <f t="shared" si="494"/>
        <v>#N/A</v>
      </c>
      <c r="CC253" s="29" t="e">
        <f t="shared" si="494"/>
        <v>#N/A</v>
      </c>
      <c r="CD253" s="29" t="e">
        <f t="shared" si="494"/>
        <v>#N/A</v>
      </c>
      <c r="CE253" s="6" t="str">
        <f t="shared" si="453"/>
        <v/>
      </c>
      <c r="CF253" s="27" t="e">
        <f>IF(AND(CI253,NOT(AD253)),LOOKUP(CF$5,{0,750,1500},H253:J253),"")</f>
        <v>#N/A</v>
      </c>
      <c r="CG253" s="6" t="str">
        <f t="shared" si="454"/>
        <v/>
      </c>
      <c r="CH253" t="e">
        <f t="shared" si="495"/>
        <v>#N/A</v>
      </c>
      <c r="CI253" t="e">
        <f t="shared" si="496"/>
        <v>#N/A</v>
      </c>
      <c r="CJ253" s="6" t="e">
        <f t="shared" si="11"/>
        <v>#N/A</v>
      </c>
      <c r="CK253" s="6">
        <f t="shared" si="12"/>
        <v>1</v>
      </c>
      <c r="CL253" s="6">
        <f t="shared" si="26"/>
        <v>1</v>
      </c>
      <c r="CM253" s="6">
        <f t="shared" si="13"/>
        <v>0</v>
      </c>
      <c r="CN253" s="6">
        <f t="shared" si="14"/>
        <v>0</v>
      </c>
      <c r="CO253" s="6">
        <f t="shared" si="15"/>
        <v>1</v>
      </c>
      <c r="CP253" s="6">
        <f t="shared" si="16"/>
        <v>1</v>
      </c>
      <c r="CQ253" s="6">
        <f t="shared" si="497"/>
        <v>1</v>
      </c>
      <c r="CR253" s="81" t="str">
        <f t="shared" si="17"/>
        <v/>
      </c>
      <c r="CS253">
        <f t="shared" si="498"/>
        <v>198</v>
      </c>
      <c r="CT253">
        <f t="shared" si="19"/>
        <v>0</v>
      </c>
      <c r="CU253" t="str">
        <f t="shared" si="29"/>
        <v/>
      </c>
      <c r="CV253" s="81">
        <f t="shared" si="499"/>
        <v>0</v>
      </c>
      <c r="CW253" s="81">
        <f>(CV253/25)^1.5*(Calculator!$BU$4/10000)*CW$5</f>
        <v>0</v>
      </c>
      <c r="CX253" t="str">
        <f t="shared" si="500"/>
        <v>$0</v>
      </c>
    </row>
    <row r="254" spans="2:102" x14ac:dyDescent="0.25">
      <c r="B254" s="115" t="s">
        <v>233</v>
      </c>
      <c r="C254" s="13">
        <v>46232.244444444441</v>
      </c>
      <c r="D254">
        <v>31151</v>
      </c>
      <c r="E254" s="54" t="s">
        <v>235</v>
      </c>
      <c r="F254" s="54" t="s">
        <v>645</v>
      </c>
      <c r="G254" s="54" t="s">
        <v>660</v>
      </c>
      <c r="H254" s="55">
        <v>13.100000000000001</v>
      </c>
      <c r="I254" s="55">
        <v>12.4</v>
      </c>
      <c r="J254" s="55">
        <v>12</v>
      </c>
      <c r="K254" s="54"/>
      <c r="L254" s="56" t="b">
        <v>0</v>
      </c>
      <c r="M254" s="56" t="b">
        <v>0</v>
      </c>
      <c r="N254" s="54">
        <v>0</v>
      </c>
      <c r="O254" s="54" t="s">
        <v>238</v>
      </c>
      <c r="P254" s="54">
        <v>100</v>
      </c>
      <c r="Q254" s="54">
        <v>1</v>
      </c>
      <c r="R254" s="54">
        <v>0</v>
      </c>
      <c r="S254" s="54" t="s">
        <v>647</v>
      </c>
      <c r="T254" s="54" t="s">
        <v>653</v>
      </c>
      <c r="U254" s="54" t="s">
        <v>649</v>
      </c>
      <c r="V254" s="54" t="s">
        <v>650</v>
      </c>
      <c r="W254" s="54" t="b">
        <v>0</v>
      </c>
      <c r="X254" s="54"/>
      <c r="Y254" s="57" t="s">
        <v>2104</v>
      </c>
      <c r="Z254" s="54" t="s">
        <v>2105</v>
      </c>
      <c r="AA254" s="54"/>
      <c r="AB254" s="54" t="s">
        <v>651</v>
      </c>
      <c r="AC254" s="56" t="b">
        <v>1</v>
      </c>
      <c r="AD254" s="56" t="b">
        <v>0</v>
      </c>
      <c r="AE254" s="54"/>
      <c r="AF254" s="58"/>
      <c r="AG254" s="62" t="s">
        <v>293</v>
      </c>
      <c r="AH254" s="54"/>
      <c r="AI254" s="54"/>
      <c r="AJ254" s="54"/>
      <c r="AK254" s="54"/>
      <c r="AL254" s="54"/>
      <c r="AM254" s="54">
        <v>0</v>
      </c>
      <c r="AN254" s="54"/>
      <c r="AO254" s="54"/>
      <c r="AP254" s="54"/>
      <c r="AQ254" s="54"/>
      <c r="AR254" s="54"/>
      <c r="AS254" s="54"/>
      <c r="AT254" s="54"/>
      <c r="AU254" s="54"/>
      <c r="AV254" s="54"/>
      <c r="AW254" s="54"/>
      <c r="AX254" s="59"/>
      <c r="AY254" s="59"/>
      <c r="AZ254" s="59"/>
      <c r="BA254" s="59"/>
      <c r="BB254" s="59"/>
      <c r="BC254" s="60"/>
      <c r="BD254" s="61"/>
      <c r="BE254" s="62"/>
      <c r="BF254" s="35">
        <f t="shared" si="489"/>
        <v>4.9000000000000004</v>
      </c>
      <c r="BG254" s="35">
        <f t="shared" si="489"/>
        <v>5.1461E-2</v>
      </c>
      <c r="BH254" s="35" t="str">
        <f t="shared" si="490"/>
        <v>?</v>
      </c>
      <c r="BI254" s="110" t="str">
        <f t="shared" si="491"/>
        <v/>
      </c>
      <c r="BJ254" s="83">
        <f>VLOOKUP($F254,REP_Info!$D$6:$H$250,5,FALSE)</f>
        <v>0.123</v>
      </c>
      <c r="BK254" s="30" t="e">
        <f t="shared" si="492"/>
        <v>#N/A</v>
      </c>
      <c r="BL254" s="30" t="e">
        <f t="shared" si="492"/>
        <v>#N/A</v>
      </c>
      <c r="BM254" s="30" t="e">
        <f t="shared" si="492"/>
        <v>#N/A</v>
      </c>
      <c r="BN254" s="29" t="e">
        <f t="shared" si="492"/>
        <v>#N/A</v>
      </c>
      <c r="BO254" s="85" t="str">
        <f t="shared" si="2"/>
        <v>$$$</v>
      </c>
      <c r="BP254" s="88" t="str">
        <f t="shared" si="493"/>
        <v>$$$</v>
      </c>
      <c r="BQ254" s="88" t="str">
        <f t="shared" si="4"/>
        <v>$$$</v>
      </c>
      <c r="BR254" s="88" t="str">
        <f t="shared" si="5"/>
        <v>$$$</v>
      </c>
      <c r="BS254" s="29" t="e">
        <f t="shared" si="494"/>
        <v>#N/A</v>
      </c>
      <c r="BT254" s="29" t="e">
        <f t="shared" si="494"/>
        <v>#N/A</v>
      </c>
      <c r="BU254" s="29" t="e">
        <f t="shared" si="494"/>
        <v>#N/A</v>
      </c>
      <c r="BV254" s="29" t="e">
        <f t="shared" si="494"/>
        <v>#N/A</v>
      </c>
      <c r="BW254" s="29" t="e">
        <f t="shared" si="494"/>
        <v>#N/A</v>
      </c>
      <c r="BX254" s="29" t="e">
        <f t="shared" si="494"/>
        <v>#N/A</v>
      </c>
      <c r="BY254" s="29" t="e">
        <f t="shared" si="494"/>
        <v>#N/A</v>
      </c>
      <c r="BZ254" s="29" t="e">
        <f t="shared" si="494"/>
        <v>#N/A</v>
      </c>
      <c r="CA254" s="29" t="e">
        <f t="shared" si="494"/>
        <v>#N/A</v>
      </c>
      <c r="CB254" s="29" t="e">
        <f t="shared" si="494"/>
        <v>#N/A</v>
      </c>
      <c r="CC254" s="29" t="e">
        <f t="shared" si="494"/>
        <v>#N/A</v>
      </c>
      <c r="CD254" s="29" t="e">
        <f t="shared" si="494"/>
        <v>#N/A</v>
      </c>
      <c r="CE254" s="6" t="str">
        <f t="shared" si="453"/>
        <v/>
      </c>
      <c r="CF254" s="27" t="e">
        <f>IF(AND(CI254,NOT(AD254)),LOOKUP(CF$5,{0,750,1500},H254:J254),"")</f>
        <v>#N/A</v>
      </c>
      <c r="CG254" s="6" t="str">
        <f t="shared" si="454"/>
        <v/>
      </c>
      <c r="CH254" t="e">
        <f t="shared" si="495"/>
        <v>#N/A</v>
      </c>
      <c r="CI254" t="e">
        <f t="shared" si="496"/>
        <v>#N/A</v>
      </c>
      <c r="CJ254" s="6" t="e">
        <f t="shared" si="11"/>
        <v>#N/A</v>
      </c>
      <c r="CK254" s="6">
        <f t="shared" si="12"/>
        <v>1</v>
      </c>
      <c r="CL254" s="6">
        <f t="shared" si="26"/>
        <v>1</v>
      </c>
      <c r="CM254" s="6">
        <f t="shared" si="13"/>
        <v>0</v>
      </c>
      <c r="CN254" s="6">
        <f t="shared" si="14"/>
        <v>0</v>
      </c>
      <c r="CO254" s="6">
        <f t="shared" si="15"/>
        <v>1</v>
      </c>
      <c r="CP254" s="6">
        <f t="shared" si="16"/>
        <v>1</v>
      </c>
      <c r="CQ254" s="6">
        <f t="shared" si="497"/>
        <v>1</v>
      </c>
      <c r="CR254" s="81" t="str">
        <f t="shared" si="17"/>
        <v/>
      </c>
      <c r="CS254">
        <f t="shared" si="498"/>
        <v>198</v>
      </c>
      <c r="CT254">
        <f t="shared" si="19"/>
        <v>0</v>
      </c>
      <c r="CU254" t="str">
        <f t="shared" si="29"/>
        <v/>
      </c>
      <c r="CV254" s="81">
        <f t="shared" si="499"/>
        <v>0</v>
      </c>
      <c r="CW254" s="81">
        <f>(CV254/25)^1.5*(Calculator!$BU$4/10000)*CW$5</f>
        <v>0</v>
      </c>
      <c r="CX254" t="str">
        <f t="shared" si="500"/>
        <v>$0</v>
      </c>
    </row>
    <row r="255" spans="2:102" x14ac:dyDescent="0.25">
      <c r="B255" s="115" t="s">
        <v>233</v>
      </c>
      <c r="C255" s="13">
        <v>46232.244444444441</v>
      </c>
      <c r="D255">
        <v>31153</v>
      </c>
      <c r="E255" s="54" t="s">
        <v>237</v>
      </c>
      <c r="F255" s="54" t="s">
        <v>645</v>
      </c>
      <c r="G255" s="54" t="s">
        <v>660</v>
      </c>
      <c r="H255" s="55">
        <v>13.700000000000001</v>
      </c>
      <c r="I255" s="55">
        <v>13</v>
      </c>
      <c r="J255" s="55">
        <v>12.6</v>
      </c>
      <c r="K255" s="54"/>
      <c r="L255" s="56" t="b">
        <v>0</v>
      </c>
      <c r="M255" s="56" t="b">
        <v>0</v>
      </c>
      <c r="N255" s="54">
        <v>0</v>
      </c>
      <c r="O255" s="54" t="s">
        <v>238</v>
      </c>
      <c r="P255" s="54">
        <v>100</v>
      </c>
      <c r="Q255" s="54">
        <v>1</v>
      </c>
      <c r="R255" s="54">
        <v>0</v>
      </c>
      <c r="S255" s="54" t="s">
        <v>647</v>
      </c>
      <c r="T255" s="54" t="s">
        <v>653</v>
      </c>
      <c r="U255" s="54" t="s">
        <v>649</v>
      </c>
      <c r="V255" s="54" t="s">
        <v>650</v>
      </c>
      <c r="W255" s="54" t="b">
        <v>0</v>
      </c>
      <c r="X255" s="54"/>
      <c r="Y255" s="57" t="s">
        <v>2106</v>
      </c>
      <c r="Z255" s="54" t="s">
        <v>2107</v>
      </c>
      <c r="AA255" s="54"/>
      <c r="AB255" s="54" t="s">
        <v>651</v>
      </c>
      <c r="AC255" s="56" t="b">
        <v>1</v>
      </c>
      <c r="AD255" s="56" t="b">
        <v>0</v>
      </c>
      <c r="AE255" s="54"/>
      <c r="AF255" s="58"/>
      <c r="AG255" s="62" t="s">
        <v>293</v>
      </c>
      <c r="AH255" s="54"/>
      <c r="AI255" s="54"/>
      <c r="AJ255" s="54"/>
      <c r="AK255" s="54"/>
      <c r="AL255" s="54"/>
      <c r="AM255" s="54">
        <v>0</v>
      </c>
      <c r="AN255" s="54"/>
      <c r="AO255" s="54"/>
      <c r="AP255" s="54"/>
      <c r="AQ255" s="54"/>
      <c r="AR255" s="54"/>
      <c r="AS255" s="54"/>
      <c r="AT255" s="54"/>
      <c r="AU255" s="54"/>
      <c r="AV255" s="54"/>
      <c r="AW255" s="54"/>
      <c r="AX255" s="59"/>
      <c r="AY255" s="59"/>
      <c r="AZ255" s="59"/>
      <c r="BA255" s="59"/>
      <c r="BB255" s="59"/>
      <c r="BC255" s="60"/>
      <c r="BD255" s="61"/>
      <c r="BE255" s="62"/>
      <c r="BF255" s="35">
        <f t="shared" si="489"/>
        <v>4.0600000000000005</v>
      </c>
      <c r="BG255" s="35">
        <f t="shared" si="489"/>
        <v>6.0295000000000001E-2</v>
      </c>
      <c r="BH255" s="35" t="str">
        <f t="shared" si="490"/>
        <v>?</v>
      </c>
      <c r="BI255" s="110" t="str">
        <f t="shared" si="491"/>
        <v/>
      </c>
      <c r="BJ255" s="83">
        <f>VLOOKUP($F255,REP_Info!$D$6:$H$250,5,FALSE)</f>
        <v>0.123</v>
      </c>
      <c r="BK255" s="30" t="e">
        <f t="shared" si="492"/>
        <v>#N/A</v>
      </c>
      <c r="BL255" s="30" t="e">
        <f t="shared" si="492"/>
        <v>#N/A</v>
      </c>
      <c r="BM255" s="30" t="e">
        <f t="shared" si="492"/>
        <v>#N/A</v>
      </c>
      <c r="BN255" s="29" t="e">
        <f t="shared" si="492"/>
        <v>#N/A</v>
      </c>
      <c r="BO255" s="85" t="str">
        <f t="shared" si="2"/>
        <v>$$$</v>
      </c>
      <c r="BP255" s="88" t="str">
        <f t="shared" si="493"/>
        <v>$$$</v>
      </c>
      <c r="BQ255" s="88" t="str">
        <f t="shared" si="4"/>
        <v>$$$</v>
      </c>
      <c r="BR255" s="88" t="str">
        <f t="shared" si="5"/>
        <v>$$$</v>
      </c>
      <c r="BS255" s="29" t="e">
        <f t="shared" si="494"/>
        <v>#N/A</v>
      </c>
      <c r="BT255" s="29" t="e">
        <f t="shared" si="494"/>
        <v>#N/A</v>
      </c>
      <c r="BU255" s="29" t="e">
        <f t="shared" si="494"/>
        <v>#N/A</v>
      </c>
      <c r="BV255" s="29" t="e">
        <f t="shared" si="494"/>
        <v>#N/A</v>
      </c>
      <c r="BW255" s="29" t="e">
        <f t="shared" si="494"/>
        <v>#N/A</v>
      </c>
      <c r="BX255" s="29" t="e">
        <f t="shared" si="494"/>
        <v>#N/A</v>
      </c>
      <c r="BY255" s="29" t="e">
        <f t="shared" si="494"/>
        <v>#N/A</v>
      </c>
      <c r="BZ255" s="29" t="e">
        <f t="shared" si="494"/>
        <v>#N/A</v>
      </c>
      <c r="CA255" s="29" t="e">
        <f t="shared" si="494"/>
        <v>#N/A</v>
      </c>
      <c r="CB255" s="29" t="e">
        <f t="shared" si="494"/>
        <v>#N/A</v>
      </c>
      <c r="CC255" s="29" t="e">
        <f t="shared" si="494"/>
        <v>#N/A</v>
      </c>
      <c r="CD255" s="29" t="e">
        <f t="shared" si="494"/>
        <v>#N/A</v>
      </c>
      <c r="CE255" s="6" t="str">
        <f t="shared" si="453"/>
        <v/>
      </c>
      <c r="CF255" s="27" t="e">
        <f>IF(AND(CI255,NOT(AD255)),LOOKUP(CF$5,{0,750,1500},H255:J255),"")</f>
        <v>#N/A</v>
      </c>
      <c r="CG255" s="6" t="str">
        <f t="shared" si="454"/>
        <v/>
      </c>
      <c r="CH255" t="e">
        <f t="shared" si="495"/>
        <v>#N/A</v>
      </c>
      <c r="CI255" t="e">
        <f t="shared" si="496"/>
        <v>#N/A</v>
      </c>
      <c r="CJ255" s="6" t="e">
        <f t="shared" si="11"/>
        <v>#N/A</v>
      </c>
      <c r="CK255" s="6">
        <f t="shared" si="12"/>
        <v>1</v>
      </c>
      <c r="CL255" s="6">
        <f t="shared" si="26"/>
        <v>1</v>
      </c>
      <c r="CM255" s="6">
        <f t="shared" si="13"/>
        <v>0</v>
      </c>
      <c r="CN255" s="6">
        <f t="shared" si="14"/>
        <v>0</v>
      </c>
      <c r="CO255" s="6">
        <f t="shared" si="15"/>
        <v>1</v>
      </c>
      <c r="CP255" s="6">
        <f t="shared" si="16"/>
        <v>1</v>
      </c>
      <c r="CQ255" s="6">
        <f t="shared" si="497"/>
        <v>1</v>
      </c>
      <c r="CR255" s="81" t="str">
        <f t="shared" si="17"/>
        <v/>
      </c>
      <c r="CS255">
        <f t="shared" si="498"/>
        <v>198</v>
      </c>
      <c r="CT255">
        <f t="shared" si="19"/>
        <v>0</v>
      </c>
      <c r="CU255" t="str">
        <f t="shared" si="29"/>
        <v/>
      </c>
      <c r="CV255" s="81">
        <f t="shared" si="499"/>
        <v>0</v>
      </c>
      <c r="CW255" s="81">
        <f>(CV255/25)^1.5*(Calculator!$BU$4/10000)*CW$5</f>
        <v>0</v>
      </c>
      <c r="CX255" t="str">
        <f t="shared" si="500"/>
        <v>$0</v>
      </c>
    </row>
    <row r="256" spans="2:102" x14ac:dyDescent="0.25">
      <c r="B256" s="115" t="s">
        <v>233</v>
      </c>
      <c r="C256" s="13">
        <v>46237.767361111109</v>
      </c>
      <c r="D256">
        <v>33683</v>
      </c>
      <c r="E256" s="54" t="s">
        <v>235</v>
      </c>
      <c r="F256" s="54" t="s">
        <v>661</v>
      </c>
      <c r="G256" s="54" t="s">
        <v>2302</v>
      </c>
      <c r="H256" s="55">
        <v>10.4</v>
      </c>
      <c r="I256" s="55">
        <v>10.4</v>
      </c>
      <c r="J256" s="55">
        <v>10.5</v>
      </c>
      <c r="K256" s="54"/>
      <c r="L256" s="56" t="b">
        <v>0</v>
      </c>
      <c r="M256" s="56" t="b">
        <v>0</v>
      </c>
      <c r="N256" s="54">
        <v>1</v>
      </c>
      <c r="O256" s="54" t="s">
        <v>228</v>
      </c>
      <c r="P256" s="54">
        <v>100</v>
      </c>
      <c r="Q256" s="54">
        <v>6</v>
      </c>
      <c r="R256" s="54" t="s">
        <v>507</v>
      </c>
      <c r="S256" s="54" t="s">
        <v>2303</v>
      </c>
      <c r="T256" s="54" t="s">
        <v>2304</v>
      </c>
      <c r="U256" s="54" t="s">
        <v>664</v>
      </c>
      <c r="V256" s="54" t="s">
        <v>665</v>
      </c>
      <c r="W256" s="54" t="b">
        <v>0</v>
      </c>
      <c r="X256" s="54"/>
      <c r="Y256" s="57" t="s">
        <v>2305</v>
      </c>
      <c r="Z256" s="54" t="s">
        <v>2306</v>
      </c>
      <c r="AA256" s="54"/>
      <c r="AB256" s="54" t="s">
        <v>667</v>
      </c>
      <c r="AC256" s="56" t="b">
        <v>0</v>
      </c>
      <c r="AD256" s="56" t="b">
        <v>0</v>
      </c>
      <c r="AE256" s="54" t="s">
        <v>303</v>
      </c>
      <c r="AF256" s="58">
        <v>46237</v>
      </c>
      <c r="AG256" s="62" t="s">
        <v>293</v>
      </c>
      <c r="AH256" s="54">
        <v>0</v>
      </c>
      <c r="AI256" s="54"/>
      <c r="AJ256" s="54"/>
      <c r="AK256" s="54"/>
      <c r="AL256" s="54"/>
      <c r="AM256" s="54">
        <v>-5</v>
      </c>
      <c r="AN256" s="54"/>
      <c r="AO256" s="54"/>
      <c r="AP256" s="54"/>
      <c r="AQ256" s="54"/>
      <c r="AR256" s="54"/>
      <c r="AS256" s="54"/>
      <c r="AT256" s="54"/>
      <c r="AU256" s="54"/>
      <c r="AV256" s="54"/>
      <c r="AW256" s="54"/>
      <c r="AX256" s="59"/>
      <c r="AY256" s="59"/>
      <c r="AZ256" s="59"/>
      <c r="BA256" s="59"/>
      <c r="BB256" s="59">
        <v>5.3129999999999997E-2</v>
      </c>
      <c r="BC256" s="60">
        <v>4.3899999999999997</v>
      </c>
      <c r="BD256" s="61">
        <v>4.0410000000000001E-2</v>
      </c>
      <c r="BE256" s="62" t="e">
        <v>#N/A</v>
      </c>
      <c r="BF256" s="35">
        <f t="shared" si="489"/>
        <v>4.9000000000000004</v>
      </c>
      <c r="BG256" s="35">
        <f t="shared" si="489"/>
        <v>5.1461E-2</v>
      </c>
      <c r="BH256" s="35" t="str">
        <f t="shared" si="490"/>
        <v>?</v>
      </c>
      <c r="BI256" s="110">
        <f t="shared" si="491"/>
        <v>0</v>
      </c>
      <c r="BJ256" s="83">
        <f>VLOOKUP($F256,REP_Info!$D$6:$H$250,5,FALSE)</f>
        <v>1.5649999999999999</v>
      </c>
      <c r="BK256" s="30" t="e">
        <f t="shared" si="492"/>
        <v>#N/A</v>
      </c>
      <c r="BL256" s="30" t="e">
        <f t="shared" si="492"/>
        <v>#N/A</v>
      </c>
      <c r="BM256" s="30" t="e">
        <f t="shared" si="492"/>
        <v>#N/A</v>
      </c>
      <c r="BN256" s="29" t="e">
        <f t="shared" si="492"/>
        <v>#N/A</v>
      </c>
      <c r="BO256" s="85" t="str">
        <f t="shared" si="2"/>
        <v>$$$</v>
      </c>
      <c r="BP256" s="88" t="str">
        <f t="shared" si="493"/>
        <v>$$$</v>
      </c>
      <c r="BQ256" s="88" t="str">
        <f t="shared" si="4"/>
        <v>$$$</v>
      </c>
      <c r="BR256" s="88" t="str">
        <f t="shared" si="5"/>
        <v>$$$</v>
      </c>
      <c r="BS256" s="29" t="e">
        <f t="shared" si="494"/>
        <v>#N/A</v>
      </c>
      <c r="BT256" s="29" t="e">
        <f t="shared" si="494"/>
        <v>#N/A</v>
      </c>
      <c r="BU256" s="29" t="e">
        <f t="shared" si="494"/>
        <v>#N/A</v>
      </c>
      <c r="BV256" s="29" t="e">
        <f t="shared" si="494"/>
        <v>#N/A</v>
      </c>
      <c r="BW256" s="29" t="e">
        <f t="shared" si="494"/>
        <v>#N/A</v>
      </c>
      <c r="BX256" s="29" t="e">
        <f t="shared" si="494"/>
        <v>#N/A</v>
      </c>
      <c r="BY256" s="29" t="e">
        <f t="shared" si="494"/>
        <v>#N/A</v>
      </c>
      <c r="BZ256" s="29" t="e">
        <f t="shared" si="494"/>
        <v>#N/A</v>
      </c>
      <c r="CA256" s="29" t="e">
        <f t="shared" si="494"/>
        <v>#N/A</v>
      </c>
      <c r="CB256" s="29" t="e">
        <f t="shared" si="494"/>
        <v>#N/A</v>
      </c>
      <c r="CC256" s="29" t="e">
        <f t="shared" si="494"/>
        <v>#N/A</v>
      </c>
      <c r="CD256" s="29" t="e">
        <f t="shared" si="494"/>
        <v>#N/A</v>
      </c>
      <c r="CE256" s="6" t="str">
        <f t="shared" si="453"/>
        <v/>
      </c>
      <c r="CF256" s="27" t="e">
        <f>IF(AND(CI256,NOT(AD256)),LOOKUP(CF$5,{0,750,1500},H256:J256),"")</f>
        <v>#N/A</v>
      </c>
      <c r="CG256" s="6" t="str">
        <f t="shared" si="454"/>
        <v/>
      </c>
      <c r="CH256" t="e">
        <f t="shared" si="495"/>
        <v>#N/A</v>
      </c>
      <c r="CI256" t="e">
        <f t="shared" si="496"/>
        <v>#N/A</v>
      </c>
      <c r="CJ256" s="6" t="e">
        <f t="shared" si="11"/>
        <v>#N/A</v>
      </c>
      <c r="CK256" s="6">
        <f t="shared" si="12"/>
        <v>1</v>
      </c>
      <c r="CL256" s="6">
        <f t="shared" si="26"/>
        <v>1</v>
      </c>
      <c r="CM256" s="6">
        <f t="shared" si="13"/>
        <v>1</v>
      </c>
      <c r="CN256" s="6">
        <f t="shared" si="14"/>
        <v>0</v>
      </c>
      <c r="CO256" s="6">
        <f t="shared" si="15"/>
        <v>1</v>
      </c>
      <c r="CP256" s="6">
        <f t="shared" si="16"/>
        <v>1</v>
      </c>
      <c r="CQ256" s="6">
        <f t="shared" si="497"/>
        <v>1</v>
      </c>
      <c r="CR256" s="81" t="str">
        <f t="shared" si="17"/>
        <v/>
      </c>
      <c r="CS256">
        <f t="shared" si="498"/>
        <v>18</v>
      </c>
      <c r="CT256">
        <f t="shared" si="19"/>
        <v>20</v>
      </c>
      <c r="CU256" t="str">
        <f t="shared" si="29"/>
        <v>rm</v>
      </c>
      <c r="CV256" s="81">
        <f t="shared" si="499"/>
        <v>120</v>
      </c>
      <c r="CW256" s="81">
        <f>(CV256/25)^1.5*(Calculator!$BU$4/10000)*CW$5</f>
        <v>27.154131879733114</v>
      </c>
      <c r="CX256" t="str">
        <f t="shared" si="500"/>
        <v>$20/rm</v>
      </c>
    </row>
    <row r="257" spans="2:102" x14ac:dyDescent="0.25">
      <c r="B257" s="115" t="s">
        <v>233</v>
      </c>
      <c r="C257" s="13">
        <v>46237.767361111109</v>
      </c>
      <c r="D257">
        <v>33687</v>
      </c>
      <c r="E257" s="54" t="s">
        <v>237</v>
      </c>
      <c r="F257" s="54" t="s">
        <v>661</v>
      </c>
      <c r="G257" s="54" t="s">
        <v>2302</v>
      </c>
      <c r="H257" s="55">
        <v>11.3</v>
      </c>
      <c r="I257" s="55">
        <v>11.3</v>
      </c>
      <c r="J257" s="55">
        <v>11.4</v>
      </c>
      <c r="K257" s="54"/>
      <c r="L257" s="56" t="b">
        <v>0</v>
      </c>
      <c r="M257" s="56" t="b">
        <v>0</v>
      </c>
      <c r="N257" s="54">
        <v>1</v>
      </c>
      <c r="O257" s="54" t="s">
        <v>228</v>
      </c>
      <c r="P257" s="54">
        <v>100</v>
      </c>
      <c r="Q257" s="54">
        <v>6</v>
      </c>
      <c r="R257" s="54" t="s">
        <v>507</v>
      </c>
      <c r="S257" s="54" t="s">
        <v>2303</v>
      </c>
      <c r="T257" s="54" t="s">
        <v>2304</v>
      </c>
      <c r="U257" s="54" t="s">
        <v>664</v>
      </c>
      <c r="V257" s="54" t="s">
        <v>665</v>
      </c>
      <c r="W257" s="54" t="b">
        <v>0</v>
      </c>
      <c r="X257" s="54"/>
      <c r="Y257" s="57" t="s">
        <v>2307</v>
      </c>
      <c r="Z257" s="54" t="s">
        <v>2308</v>
      </c>
      <c r="AA257" s="54"/>
      <c r="AB257" s="54" t="s">
        <v>667</v>
      </c>
      <c r="AC257" s="56" t="b">
        <v>0</v>
      </c>
      <c r="AD257" s="56" t="b">
        <v>0</v>
      </c>
      <c r="AE257" s="54" t="s">
        <v>303</v>
      </c>
      <c r="AF257" s="58">
        <v>46237</v>
      </c>
      <c r="AG257" s="62" t="s">
        <v>293</v>
      </c>
      <c r="AH257" s="54">
        <v>0</v>
      </c>
      <c r="AI257" s="54"/>
      <c r="AJ257" s="54"/>
      <c r="AK257" s="54"/>
      <c r="AL257" s="54"/>
      <c r="AM257" s="54">
        <v>-5</v>
      </c>
      <c r="AN257" s="54"/>
      <c r="AO257" s="54"/>
      <c r="AP257" s="54"/>
      <c r="AQ257" s="54"/>
      <c r="AR257" s="54"/>
      <c r="AS257" s="54"/>
      <c r="AT257" s="54"/>
      <c r="AU257" s="54"/>
      <c r="AV257" s="54"/>
      <c r="AW257" s="54"/>
      <c r="AX257" s="59"/>
      <c r="AY257" s="59"/>
      <c r="AZ257" s="59"/>
      <c r="BA257" s="59"/>
      <c r="BB257" s="59">
        <v>5.4140000000000001E-2</v>
      </c>
      <c r="BC257" s="60">
        <v>4.2300000000000004</v>
      </c>
      <c r="BD257" s="61">
        <v>6.0295000000000001E-2</v>
      </c>
      <c r="BE257" s="62" t="e">
        <v>#N/A</v>
      </c>
      <c r="BF257" s="35">
        <f t="shared" si="489"/>
        <v>4.0600000000000005</v>
      </c>
      <c r="BG257" s="35">
        <f t="shared" si="489"/>
        <v>6.0295000000000001E-2</v>
      </c>
      <c r="BH257" s="35" t="str">
        <f t="shared" si="490"/>
        <v>?</v>
      </c>
      <c r="BI257" s="110">
        <f t="shared" si="491"/>
        <v>0</v>
      </c>
      <c r="BJ257" s="83">
        <f>VLOOKUP($F257,REP_Info!$D$6:$H$250,5,FALSE)</f>
        <v>1.5649999999999999</v>
      </c>
      <c r="BK257" s="30" t="e">
        <f t="shared" si="492"/>
        <v>#N/A</v>
      </c>
      <c r="BL257" s="30" t="e">
        <f t="shared" si="492"/>
        <v>#N/A</v>
      </c>
      <c r="BM257" s="30" t="e">
        <f t="shared" si="492"/>
        <v>#N/A</v>
      </c>
      <c r="BN257" s="29" t="e">
        <f t="shared" si="492"/>
        <v>#N/A</v>
      </c>
      <c r="BO257" s="85" t="str">
        <f t="shared" si="2"/>
        <v>$$$</v>
      </c>
      <c r="BP257" s="88" t="str">
        <f t="shared" si="493"/>
        <v>$$$</v>
      </c>
      <c r="BQ257" s="88" t="str">
        <f t="shared" si="4"/>
        <v>$$$</v>
      </c>
      <c r="BR257" s="88" t="str">
        <f t="shared" si="5"/>
        <v>$$$</v>
      </c>
      <c r="BS257" s="29" t="e">
        <f t="shared" si="494"/>
        <v>#N/A</v>
      </c>
      <c r="BT257" s="29" t="e">
        <f t="shared" si="494"/>
        <v>#N/A</v>
      </c>
      <c r="BU257" s="29" t="e">
        <f t="shared" si="494"/>
        <v>#N/A</v>
      </c>
      <c r="BV257" s="29" t="e">
        <f t="shared" si="494"/>
        <v>#N/A</v>
      </c>
      <c r="BW257" s="29" t="e">
        <f t="shared" si="494"/>
        <v>#N/A</v>
      </c>
      <c r="BX257" s="29" t="e">
        <f t="shared" si="494"/>
        <v>#N/A</v>
      </c>
      <c r="BY257" s="29" t="e">
        <f t="shared" si="494"/>
        <v>#N/A</v>
      </c>
      <c r="BZ257" s="29" t="e">
        <f t="shared" si="494"/>
        <v>#N/A</v>
      </c>
      <c r="CA257" s="29" t="e">
        <f t="shared" si="494"/>
        <v>#N/A</v>
      </c>
      <c r="CB257" s="29" t="e">
        <f t="shared" si="494"/>
        <v>#N/A</v>
      </c>
      <c r="CC257" s="29" t="e">
        <f t="shared" si="494"/>
        <v>#N/A</v>
      </c>
      <c r="CD257" s="29" t="e">
        <f t="shared" si="494"/>
        <v>#N/A</v>
      </c>
      <c r="CE257" s="6" t="str">
        <f t="shared" si="453"/>
        <v/>
      </c>
      <c r="CF257" s="27" t="e">
        <f>IF(AND(CI257,NOT(AD257)),LOOKUP(CF$5,{0,750,1500},H257:J257),"")</f>
        <v>#N/A</v>
      </c>
      <c r="CG257" s="6" t="str">
        <f t="shared" si="454"/>
        <v/>
      </c>
      <c r="CH257" t="e">
        <f t="shared" si="495"/>
        <v>#N/A</v>
      </c>
      <c r="CI257" t="e">
        <f t="shared" si="496"/>
        <v>#N/A</v>
      </c>
      <c r="CJ257" s="6" t="e">
        <f t="shared" si="11"/>
        <v>#N/A</v>
      </c>
      <c r="CK257" s="6">
        <f t="shared" si="12"/>
        <v>1</v>
      </c>
      <c r="CL257" s="6">
        <f t="shared" si="26"/>
        <v>1</v>
      </c>
      <c r="CM257" s="6">
        <f t="shared" si="13"/>
        <v>1</v>
      </c>
      <c r="CN257" s="6">
        <f t="shared" si="14"/>
        <v>0</v>
      </c>
      <c r="CO257" s="6">
        <f t="shared" si="15"/>
        <v>1</v>
      </c>
      <c r="CP257" s="6">
        <f t="shared" si="16"/>
        <v>1</v>
      </c>
      <c r="CQ257" s="6">
        <f t="shared" si="497"/>
        <v>1</v>
      </c>
      <c r="CR257" s="81" t="str">
        <f t="shared" si="17"/>
        <v/>
      </c>
      <c r="CS257">
        <f t="shared" si="498"/>
        <v>18</v>
      </c>
      <c r="CT257">
        <f t="shared" si="19"/>
        <v>20</v>
      </c>
      <c r="CU257" t="str">
        <f t="shared" si="29"/>
        <v>rm</v>
      </c>
      <c r="CV257" s="81">
        <f t="shared" si="499"/>
        <v>120</v>
      </c>
      <c r="CW257" s="81">
        <f>(CV257/25)^1.5*(Calculator!$BU$4/10000)*CW$5</f>
        <v>27.154131879733114</v>
      </c>
      <c r="CX257" t="str">
        <f t="shared" si="500"/>
        <v>$20/rm</v>
      </c>
    </row>
    <row r="258" spans="2:102" x14ac:dyDescent="0.25">
      <c r="B258" s="115" t="s">
        <v>233</v>
      </c>
      <c r="C258" s="13">
        <v>46237.767361111109</v>
      </c>
      <c r="D258">
        <v>35059</v>
      </c>
      <c r="E258" s="54" t="s">
        <v>235</v>
      </c>
      <c r="F258" s="54" t="s">
        <v>661</v>
      </c>
      <c r="G258" s="54" t="s">
        <v>662</v>
      </c>
      <c r="H258" s="55">
        <v>10.9</v>
      </c>
      <c r="I258" s="55">
        <v>10.9</v>
      </c>
      <c r="J258" s="55">
        <v>11</v>
      </c>
      <c r="K258" s="54"/>
      <c r="L258" s="56" t="b">
        <v>0</v>
      </c>
      <c r="M258" s="56" t="b">
        <v>0</v>
      </c>
      <c r="N258" s="54">
        <v>1</v>
      </c>
      <c r="O258" s="54" t="s">
        <v>228</v>
      </c>
      <c r="P258" s="54">
        <v>100</v>
      </c>
      <c r="Q258" s="54">
        <v>12</v>
      </c>
      <c r="R258" s="54" t="s">
        <v>507</v>
      </c>
      <c r="S258" s="54" t="s">
        <v>1731</v>
      </c>
      <c r="T258" s="54" t="s">
        <v>663</v>
      </c>
      <c r="U258" s="54" t="s">
        <v>664</v>
      </c>
      <c r="V258" s="54" t="s">
        <v>665</v>
      </c>
      <c r="W258" s="54" t="b">
        <v>0</v>
      </c>
      <c r="X258" s="54"/>
      <c r="Y258" s="57" t="s">
        <v>666</v>
      </c>
      <c r="Z258" s="54" t="s">
        <v>1732</v>
      </c>
      <c r="AA258" s="54"/>
      <c r="AB258" s="54" t="s">
        <v>667</v>
      </c>
      <c r="AC258" s="56" t="b">
        <v>0</v>
      </c>
      <c r="AD258" s="56" t="b">
        <v>0</v>
      </c>
      <c r="AE258" s="54" t="s">
        <v>303</v>
      </c>
      <c r="AF258" s="58">
        <v>46237</v>
      </c>
      <c r="AG258" s="62" t="s">
        <v>293</v>
      </c>
      <c r="AH258" s="54">
        <v>0</v>
      </c>
      <c r="AI258" s="54"/>
      <c r="AJ258" s="54"/>
      <c r="AK258" s="54"/>
      <c r="AL258" s="54"/>
      <c r="AM258" s="54">
        <v>-5</v>
      </c>
      <c r="AN258" s="54"/>
      <c r="AO258" s="54"/>
      <c r="AP258" s="54"/>
      <c r="AQ258" s="54"/>
      <c r="AR258" s="54"/>
      <c r="AS258" s="54"/>
      <c r="AT258" s="54"/>
      <c r="AU258" s="54"/>
      <c r="AV258" s="54"/>
      <c r="AW258" s="54"/>
      <c r="AX258" s="59"/>
      <c r="AY258" s="59"/>
      <c r="AZ258" s="59"/>
      <c r="BA258" s="59"/>
      <c r="BB258" s="59">
        <v>5.8130000000000001E-2</v>
      </c>
      <c r="BC258" s="60">
        <v>4.9000000000000004</v>
      </c>
      <c r="BD258" s="61">
        <v>5.1461E-2</v>
      </c>
      <c r="BE258" s="62" t="s">
        <v>293</v>
      </c>
      <c r="BF258" s="35">
        <f t="shared" si="489"/>
        <v>4.9000000000000004</v>
      </c>
      <c r="BG258" s="35">
        <f t="shared" si="489"/>
        <v>5.1461E-2</v>
      </c>
      <c r="BH258" s="35" t="str">
        <f t="shared" si="490"/>
        <v>Low</v>
      </c>
      <c r="BI258" s="110">
        <f t="shared" si="491"/>
        <v>0</v>
      </c>
      <c r="BJ258" s="83">
        <f>VLOOKUP($F258,REP_Info!$D$6:$H$250,5,FALSE)</f>
        <v>1.5649999999999999</v>
      </c>
      <c r="BK258" s="30">
        <f t="shared" si="492"/>
        <v>10.9391</v>
      </c>
      <c r="BL258" s="30">
        <f t="shared" si="492"/>
        <v>10.9491</v>
      </c>
      <c r="BM258" s="30">
        <f t="shared" si="492"/>
        <v>10.9541</v>
      </c>
      <c r="BN258" s="29">
        <f t="shared" si="492"/>
        <v>10.955766666666667</v>
      </c>
      <c r="BO258" s="85" t="str">
        <f t="shared" si="2"/>
        <v>$$$</v>
      </c>
      <c r="BP258" s="88" t="str">
        <f t="shared" si="493"/>
        <v>$$$</v>
      </c>
      <c r="BQ258" s="88" t="str">
        <f t="shared" si="4"/>
        <v>$$$</v>
      </c>
      <c r="BR258" s="88" t="str">
        <f t="shared" si="5"/>
        <v>$$$</v>
      </c>
      <c r="BS258" s="29" t="e">
        <f t="shared" si="494"/>
        <v>#N/A</v>
      </c>
      <c r="BT258" s="29" t="e">
        <f t="shared" si="494"/>
        <v>#N/A</v>
      </c>
      <c r="BU258" s="29" t="e">
        <f t="shared" si="494"/>
        <v>#N/A</v>
      </c>
      <c r="BV258" s="29" t="e">
        <f t="shared" si="494"/>
        <v>#N/A</v>
      </c>
      <c r="BW258" s="29" t="e">
        <f t="shared" si="494"/>
        <v>#N/A</v>
      </c>
      <c r="BX258" s="29" t="e">
        <f t="shared" si="494"/>
        <v>#N/A</v>
      </c>
      <c r="BY258" s="29" t="e">
        <f t="shared" si="494"/>
        <v>#N/A</v>
      </c>
      <c r="BZ258" s="29" t="e">
        <f t="shared" si="494"/>
        <v>#N/A</v>
      </c>
      <c r="CA258" s="29" t="e">
        <f t="shared" si="494"/>
        <v>#N/A</v>
      </c>
      <c r="CB258" s="29" t="e">
        <f t="shared" si="494"/>
        <v>#N/A</v>
      </c>
      <c r="CC258" s="29" t="e">
        <f t="shared" si="494"/>
        <v>#N/A</v>
      </c>
      <c r="CD258" s="29" t="e">
        <f t="shared" si="494"/>
        <v>#N/A</v>
      </c>
      <c r="CE258" s="6" t="str">
        <f t="shared" si="453"/>
        <v/>
      </c>
      <c r="CF258" s="27" t="e">
        <f>IF(AND(CI258,NOT(AD258)),LOOKUP(CF$5,{0,750,1500},H258:J258),"")</f>
        <v>#N/A</v>
      </c>
      <c r="CG258" s="6" t="str">
        <f t="shared" si="454"/>
        <v/>
      </c>
      <c r="CH258" t="e">
        <f t="shared" si="495"/>
        <v>#N/A</v>
      </c>
      <c r="CI258" t="e">
        <f t="shared" si="496"/>
        <v>#N/A</v>
      </c>
      <c r="CJ258" s="6" t="e">
        <f t="shared" si="11"/>
        <v>#N/A</v>
      </c>
      <c r="CK258" s="6">
        <f t="shared" si="12"/>
        <v>1</v>
      </c>
      <c r="CL258" s="6">
        <f t="shared" si="26"/>
        <v>1</v>
      </c>
      <c r="CM258" s="6">
        <f t="shared" si="13"/>
        <v>1</v>
      </c>
      <c r="CN258" s="6">
        <f t="shared" si="14"/>
        <v>1</v>
      </c>
      <c r="CO258" s="6">
        <f t="shared" si="15"/>
        <v>1</v>
      </c>
      <c r="CP258" s="6">
        <f t="shared" si="16"/>
        <v>1</v>
      </c>
      <c r="CQ258" s="6">
        <f t="shared" si="497"/>
        <v>1</v>
      </c>
      <c r="CR258" s="81" t="str">
        <f t="shared" si="17"/>
        <v/>
      </c>
      <c r="CS258">
        <f t="shared" si="498"/>
        <v>0</v>
      </c>
      <c r="CT258">
        <f t="shared" si="19"/>
        <v>20</v>
      </c>
      <c r="CU258" t="str">
        <f t="shared" si="29"/>
        <v>rm</v>
      </c>
      <c r="CV258" s="81">
        <f t="shared" si="499"/>
        <v>240</v>
      </c>
      <c r="CW258" s="81">
        <f>(CV258/25)^1.5*(Calculator!$BU$4/10000)*CW$5</f>
        <v>76.803483157572401</v>
      </c>
      <c r="CX258" t="str">
        <f t="shared" si="500"/>
        <v>$20/rm</v>
      </c>
    </row>
    <row r="259" spans="2:102" x14ac:dyDescent="0.25">
      <c r="B259" s="115" t="s">
        <v>233</v>
      </c>
      <c r="C259" s="13">
        <v>46237.767361111109</v>
      </c>
      <c r="D259">
        <v>35061</v>
      </c>
      <c r="E259" s="54" t="s">
        <v>237</v>
      </c>
      <c r="F259" s="54" t="s">
        <v>661</v>
      </c>
      <c r="G259" s="54" t="s">
        <v>662</v>
      </c>
      <c r="H259" s="55">
        <v>11.600000000000001</v>
      </c>
      <c r="I259" s="55">
        <v>11.600000000000001</v>
      </c>
      <c r="J259" s="55">
        <v>11.700000000000001</v>
      </c>
      <c r="K259" s="54"/>
      <c r="L259" s="56" t="b">
        <v>0</v>
      </c>
      <c r="M259" s="56" t="b">
        <v>0</v>
      </c>
      <c r="N259" s="54">
        <v>1</v>
      </c>
      <c r="O259" s="54" t="s">
        <v>228</v>
      </c>
      <c r="P259" s="54">
        <v>100</v>
      </c>
      <c r="Q259" s="54">
        <v>12</v>
      </c>
      <c r="R259" s="54" t="s">
        <v>507</v>
      </c>
      <c r="S259" s="54" t="s">
        <v>1731</v>
      </c>
      <c r="T259" s="54" t="s">
        <v>663</v>
      </c>
      <c r="U259" s="54" t="s">
        <v>664</v>
      </c>
      <c r="V259" s="54" t="s">
        <v>665</v>
      </c>
      <c r="W259" s="54" t="b">
        <v>0</v>
      </c>
      <c r="X259" s="54"/>
      <c r="Y259" s="57" t="s">
        <v>668</v>
      </c>
      <c r="Z259" s="54" t="s">
        <v>1733</v>
      </c>
      <c r="AA259" s="54"/>
      <c r="AB259" s="54" t="s">
        <v>667</v>
      </c>
      <c r="AC259" s="56" t="b">
        <v>0</v>
      </c>
      <c r="AD259" s="56" t="b">
        <v>0</v>
      </c>
      <c r="AE259" s="54" t="s">
        <v>303</v>
      </c>
      <c r="AF259" s="58">
        <v>46237</v>
      </c>
      <c r="AG259" s="62" t="s">
        <v>293</v>
      </c>
      <c r="AH259" s="54">
        <v>0</v>
      </c>
      <c r="AI259" s="54"/>
      <c r="AJ259" s="54"/>
      <c r="AK259" s="54"/>
      <c r="AL259" s="54"/>
      <c r="AM259" s="54">
        <v>-5</v>
      </c>
      <c r="AN259" s="54"/>
      <c r="AO259" s="54"/>
      <c r="AP259" s="54"/>
      <c r="AQ259" s="54"/>
      <c r="AR259" s="54"/>
      <c r="AS259" s="54"/>
      <c r="AT259" s="54"/>
      <c r="AU259" s="54"/>
      <c r="AV259" s="54"/>
      <c r="AW259" s="54"/>
      <c r="AX259" s="59"/>
      <c r="AY259" s="59"/>
      <c r="AZ259" s="59"/>
      <c r="BA259" s="59"/>
      <c r="BB259" s="59">
        <v>5.7140000000000003E-2</v>
      </c>
      <c r="BC259" s="60">
        <v>4.0599999999999996</v>
      </c>
      <c r="BD259" s="61">
        <v>6.0295000000000001E-2</v>
      </c>
      <c r="BE259" s="62" t="s">
        <v>293</v>
      </c>
      <c r="BF259" s="35">
        <f t="shared" si="489"/>
        <v>4.0600000000000005</v>
      </c>
      <c r="BG259" s="35">
        <f t="shared" si="489"/>
        <v>6.0295000000000001E-2</v>
      </c>
      <c r="BH259" s="35" t="str">
        <f t="shared" si="490"/>
        <v>Low</v>
      </c>
      <c r="BI259" s="110">
        <f t="shared" si="491"/>
        <v>0</v>
      </c>
      <c r="BJ259" s="83">
        <f>VLOOKUP($F259,REP_Info!$D$6:$H$250,5,FALSE)</f>
        <v>1.5649999999999999</v>
      </c>
      <c r="BK259" s="30">
        <f t="shared" si="492"/>
        <v>11.5555</v>
      </c>
      <c r="BL259" s="30">
        <f t="shared" si="492"/>
        <v>11.6495</v>
      </c>
      <c r="BM259" s="30">
        <f t="shared" si="492"/>
        <v>11.6965</v>
      </c>
      <c r="BN259" s="29">
        <f t="shared" si="492"/>
        <v>11.712166666666667</v>
      </c>
      <c r="BO259" s="85" t="str">
        <f t="shared" si="2"/>
        <v>$$$</v>
      </c>
      <c r="BP259" s="88" t="str">
        <f t="shared" si="493"/>
        <v>$$$</v>
      </c>
      <c r="BQ259" s="88" t="str">
        <f t="shared" si="4"/>
        <v>$$$</v>
      </c>
      <c r="BR259" s="88" t="str">
        <f t="shared" si="5"/>
        <v>$$$</v>
      </c>
      <c r="BS259" s="29" t="e">
        <f t="shared" si="494"/>
        <v>#N/A</v>
      </c>
      <c r="BT259" s="29" t="e">
        <f t="shared" si="494"/>
        <v>#N/A</v>
      </c>
      <c r="BU259" s="29" t="e">
        <f t="shared" si="494"/>
        <v>#N/A</v>
      </c>
      <c r="BV259" s="29" t="e">
        <f t="shared" si="494"/>
        <v>#N/A</v>
      </c>
      <c r="BW259" s="29" t="e">
        <f t="shared" si="494"/>
        <v>#N/A</v>
      </c>
      <c r="BX259" s="29" t="e">
        <f t="shared" si="494"/>
        <v>#N/A</v>
      </c>
      <c r="BY259" s="29" t="e">
        <f t="shared" si="494"/>
        <v>#N/A</v>
      </c>
      <c r="BZ259" s="29" t="e">
        <f t="shared" si="494"/>
        <v>#N/A</v>
      </c>
      <c r="CA259" s="29" t="e">
        <f t="shared" si="494"/>
        <v>#N/A</v>
      </c>
      <c r="CB259" s="29" t="e">
        <f t="shared" si="494"/>
        <v>#N/A</v>
      </c>
      <c r="CC259" s="29" t="e">
        <f t="shared" si="494"/>
        <v>#N/A</v>
      </c>
      <c r="CD259" s="29" t="e">
        <f t="shared" si="494"/>
        <v>#N/A</v>
      </c>
      <c r="CE259" s="6" t="str">
        <f t="shared" si="453"/>
        <v/>
      </c>
      <c r="CF259" s="27" t="e">
        <f>IF(AND(CI259,NOT(AD259)),LOOKUP(CF$5,{0,750,1500},H259:J259),"")</f>
        <v>#N/A</v>
      </c>
      <c r="CG259" s="6" t="str">
        <f t="shared" si="454"/>
        <v/>
      </c>
      <c r="CH259" t="e">
        <f t="shared" si="495"/>
        <v>#N/A</v>
      </c>
      <c r="CI259" t="e">
        <f t="shared" si="496"/>
        <v>#N/A</v>
      </c>
      <c r="CJ259" s="6" t="e">
        <f t="shared" si="11"/>
        <v>#N/A</v>
      </c>
      <c r="CK259" s="6">
        <f t="shared" si="12"/>
        <v>1</v>
      </c>
      <c r="CL259" s="6">
        <f t="shared" si="26"/>
        <v>1</v>
      </c>
      <c r="CM259" s="6">
        <f t="shared" si="13"/>
        <v>1</v>
      </c>
      <c r="CN259" s="6">
        <f t="shared" si="14"/>
        <v>1</v>
      </c>
      <c r="CO259" s="6">
        <f t="shared" si="15"/>
        <v>1</v>
      </c>
      <c r="CP259" s="6">
        <f t="shared" si="16"/>
        <v>1</v>
      </c>
      <c r="CQ259" s="6">
        <f t="shared" si="497"/>
        <v>1</v>
      </c>
      <c r="CR259" s="81" t="str">
        <f t="shared" si="17"/>
        <v/>
      </c>
      <c r="CS259">
        <f t="shared" si="498"/>
        <v>0</v>
      </c>
      <c r="CT259">
        <f t="shared" si="19"/>
        <v>20</v>
      </c>
      <c r="CU259" t="str">
        <f t="shared" si="29"/>
        <v>rm</v>
      </c>
      <c r="CV259" s="81">
        <f t="shared" si="499"/>
        <v>240</v>
      </c>
      <c r="CW259" s="81">
        <f>(CV259/25)^1.5*(Calculator!$BU$4/10000)*CW$5</f>
        <v>76.803483157572401</v>
      </c>
      <c r="CX259" t="str">
        <f t="shared" si="500"/>
        <v>$20/rm</v>
      </c>
    </row>
    <row r="260" spans="2:102" x14ac:dyDescent="0.25">
      <c r="B260" s="115" t="s">
        <v>233</v>
      </c>
      <c r="C260" s="13">
        <v>46236.341666666667</v>
      </c>
      <c r="D260">
        <v>35813</v>
      </c>
      <c r="E260" s="54" t="s">
        <v>235</v>
      </c>
      <c r="F260" s="54" t="s">
        <v>661</v>
      </c>
      <c r="G260" s="54" t="s">
        <v>669</v>
      </c>
      <c r="H260" s="55">
        <v>12.3</v>
      </c>
      <c r="I260" s="55">
        <v>12.3</v>
      </c>
      <c r="J260" s="55">
        <v>12.4</v>
      </c>
      <c r="K260" s="54"/>
      <c r="L260" s="56" t="b">
        <v>0</v>
      </c>
      <c r="M260" s="56" t="b">
        <v>0</v>
      </c>
      <c r="N260" s="54">
        <v>1</v>
      </c>
      <c r="O260" s="54" t="s">
        <v>228</v>
      </c>
      <c r="P260" s="54">
        <v>100</v>
      </c>
      <c r="Q260" s="54">
        <v>24</v>
      </c>
      <c r="R260" s="54" t="s">
        <v>507</v>
      </c>
      <c r="S260" s="54" t="s">
        <v>1732</v>
      </c>
      <c r="T260" s="54" t="s">
        <v>663</v>
      </c>
      <c r="U260" s="54" t="s">
        <v>664</v>
      </c>
      <c r="V260" s="54" t="s">
        <v>665</v>
      </c>
      <c r="W260" s="54" t="b">
        <v>0</v>
      </c>
      <c r="X260" s="54"/>
      <c r="Y260" s="57" t="s">
        <v>670</v>
      </c>
      <c r="Z260" s="54" t="s">
        <v>1734</v>
      </c>
      <c r="AA260" s="54"/>
      <c r="AB260" s="54" t="s">
        <v>667</v>
      </c>
      <c r="AC260" s="56" t="b">
        <v>0</v>
      </c>
      <c r="AD260" s="56" t="b">
        <v>0</v>
      </c>
      <c r="AE260" s="54" t="s">
        <v>303</v>
      </c>
      <c r="AF260" s="58">
        <v>46234</v>
      </c>
      <c r="AG260" s="62" t="s">
        <v>293</v>
      </c>
      <c r="AH260" s="54">
        <v>0</v>
      </c>
      <c r="AI260" s="54"/>
      <c r="AJ260" s="54"/>
      <c r="AK260" s="54"/>
      <c r="AL260" s="54"/>
      <c r="AM260" s="54">
        <v>-5</v>
      </c>
      <c r="AN260" s="54"/>
      <c r="AO260" s="54"/>
      <c r="AP260" s="54"/>
      <c r="AQ260" s="54"/>
      <c r="AR260" s="54"/>
      <c r="AS260" s="54"/>
      <c r="AT260" s="54"/>
      <c r="AU260" s="54"/>
      <c r="AV260" s="54"/>
      <c r="AW260" s="54"/>
      <c r="AX260" s="59"/>
      <c r="AY260" s="59"/>
      <c r="AZ260" s="59"/>
      <c r="BA260" s="59"/>
      <c r="BB260" s="59">
        <v>7.213E-2</v>
      </c>
      <c r="BC260" s="60">
        <v>4.9000000000000004</v>
      </c>
      <c r="BD260" s="61">
        <v>5.1461E-2</v>
      </c>
      <c r="BE260" s="62" t="s">
        <v>293</v>
      </c>
      <c r="BF260" s="35">
        <f t="shared" si="489"/>
        <v>4.9000000000000004</v>
      </c>
      <c r="BG260" s="35">
        <f t="shared" si="489"/>
        <v>5.1461E-2</v>
      </c>
      <c r="BH260" s="35" t="str">
        <f t="shared" si="490"/>
        <v>Low</v>
      </c>
      <c r="BI260" s="110">
        <f t="shared" si="491"/>
        <v>0</v>
      </c>
      <c r="BJ260" s="83">
        <f>VLOOKUP($F260,REP_Info!$D$6:$H$250,5,FALSE)</f>
        <v>1.5649999999999999</v>
      </c>
      <c r="BK260" s="30">
        <f t="shared" si="492"/>
        <v>12.339099999999998</v>
      </c>
      <c r="BL260" s="30">
        <f t="shared" si="492"/>
        <v>12.3491</v>
      </c>
      <c r="BM260" s="30">
        <f t="shared" si="492"/>
        <v>12.354100000000001</v>
      </c>
      <c r="BN260" s="29">
        <f t="shared" si="492"/>
        <v>12.355766666666668</v>
      </c>
      <c r="BO260" s="85" t="str">
        <f t="shared" si="2"/>
        <v>$$$</v>
      </c>
      <c r="BP260" s="88" t="str">
        <f t="shared" si="493"/>
        <v>$$$</v>
      </c>
      <c r="BQ260" s="88" t="str">
        <f t="shared" si="4"/>
        <v>$$$</v>
      </c>
      <c r="BR260" s="88" t="str">
        <f t="shared" si="5"/>
        <v>$$$</v>
      </c>
      <c r="BS260" s="29" t="e">
        <f t="shared" si="494"/>
        <v>#N/A</v>
      </c>
      <c r="BT260" s="29" t="e">
        <f t="shared" si="494"/>
        <v>#N/A</v>
      </c>
      <c r="BU260" s="29" t="e">
        <f t="shared" si="494"/>
        <v>#N/A</v>
      </c>
      <c r="BV260" s="29" t="e">
        <f t="shared" si="494"/>
        <v>#N/A</v>
      </c>
      <c r="BW260" s="29" t="e">
        <f t="shared" si="494"/>
        <v>#N/A</v>
      </c>
      <c r="BX260" s="29" t="e">
        <f t="shared" si="494"/>
        <v>#N/A</v>
      </c>
      <c r="BY260" s="29" t="e">
        <f t="shared" si="494"/>
        <v>#N/A</v>
      </c>
      <c r="BZ260" s="29" t="e">
        <f t="shared" si="494"/>
        <v>#N/A</v>
      </c>
      <c r="CA260" s="29" t="e">
        <f t="shared" si="494"/>
        <v>#N/A</v>
      </c>
      <c r="CB260" s="29" t="e">
        <f t="shared" si="494"/>
        <v>#N/A</v>
      </c>
      <c r="CC260" s="29" t="e">
        <f t="shared" si="494"/>
        <v>#N/A</v>
      </c>
      <c r="CD260" s="29" t="e">
        <f t="shared" si="494"/>
        <v>#N/A</v>
      </c>
      <c r="CE260" s="6" t="str">
        <f t="shared" si="453"/>
        <v/>
      </c>
      <c r="CF260" s="27" t="e">
        <f>IF(AND(CI260,NOT(AD260)),LOOKUP(CF$5,{0,750,1500},H260:J260),"")</f>
        <v>#N/A</v>
      </c>
      <c r="CG260" s="6" t="str">
        <f t="shared" si="454"/>
        <v/>
      </c>
      <c r="CH260" t="e">
        <f t="shared" si="495"/>
        <v>#N/A</v>
      </c>
      <c r="CI260" t="e">
        <f t="shared" si="496"/>
        <v>#N/A</v>
      </c>
      <c r="CJ260" s="6" t="e">
        <f t="shared" si="11"/>
        <v>#N/A</v>
      </c>
      <c r="CK260" s="6">
        <f t="shared" si="12"/>
        <v>1</v>
      </c>
      <c r="CL260" s="6">
        <f t="shared" si="26"/>
        <v>1</v>
      </c>
      <c r="CM260" s="6">
        <f t="shared" si="13"/>
        <v>1</v>
      </c>
      <c r="CN260" s="6">
        <f t="shared" si="14"/>
        <v>1</v>
      </c>
      <c r="CO260" s="6">
        <f t="shared" si="15"/>
        <v>0</v>
      </c>
      <c r="CP260" s="6">
        <f t="shared" si="16"/>
        <v>1</v>
      </c>
      <c r="CQ260" s="6">
        <f t="shared" si="497"/>
        <v>1</v>
      </c>
      <c r="CR260" s="81" t="str">
        <f t="shared" si="17"/>
        <v/>
      </c>
      <c r="CS260">
        <f t="shared" si="498"/>
        <v>0</v>
      </c>
      <c r="CT260">
        <f t="shared" si="19"/>
        <v>20</v>
      </c>
      <c r="CU260" t="str">
        <f t="shared" si="29"/>
        <v>rm</v>
      </c>
      <c r="CV260" s="81">
        <f t="shared" si="499"/>
        <v>480</v>
      </c>
      <c r="CW260" s="81">
        <f>(CV260/25)^1.5*(Calculator!$BU$4/10000)*CW$5</f>
        <v>217.23305503786497</v>
      </c>
      <c r="CX260" t="str">
        <f t="shared" si="500"/>
        <v>$20/rm</v>
      </c>
    </row>
    <row r="261" spans="2:102" x14ac:dyDescent="0.25">
      <c r="B261" s="115" t="s">
        <v>233</v>
      </c>
      <c r="C261" s="13">
        <v>46237.767361111109</v>
      </c>
      <c r="D261">
        <v>35815</v>
      </c>
      <c r="E261" s="54" t="s">
        <v>237</v>
      </c>
      <c r="F261" s="54" t="s">
        <v>661</v>
      </c>
      <c r="G261" s="54" t="s">
        <v>669</v>
      </c>
      <c r="H261" s="55">
        <v>13.3</v>
      </c>
      <c r="I261" s="55">
        <v>13.4</v>
      </c>
      <c r="J261" s="55">
        <v>13.4</v>
      </c>
      <c r="K261" s="54"/>
      <c r="L261" s="56" t="b">
        <v>0</v>
      </c>
      <c r="M261" s="56" t="b">
        <v>0</v>
      </c>
      <c r="N261" s="54">
        <v>1</v>
      </c>
      <c r="O261" s="54" t="s">
        <v>228</v>
      </c>
      <c r="P261" s="54">
        <v>100</v>
      </c>
      <c r="Q261" s="54">
        <v>24</v>
      </c>
      <c r="R261" s="54" t="s">
        <v>507</v>
      </c>
      <c r="S261" s="54" t="s">
        <v>1719</v>
      </c>
      <c r="T261" s="54" t="s">
        <v>663</v>
      </c>
      <c r="U261" s="54" t="s">
        <v>664</v>
      </c>
      <c r="V261" s="54" t="s">
        <v>665</v>
      </c>
      <c r="W261" s="54" t="b">
        <v>0</v>
      </c>
      <c r="X261" s="54"/>
      <c r="Y261" s="57" t="s">
        <v>671</v>
      </c>
      <c r="Z261" s="54" t="s">
        <v>1735</v>
      </c>
      <c r="AA261" s="54"/>
      <c r="AB261" s="54" t="s">
        <v>667</v>
      </c>
      <c r="AC261" s="56" t="b">
        <v>0</v>
      </c>
      <c r="AD261" s="56" t="b">
        <v>0</v>
      </c>
      <c r="AE261" s="54" t="s">
        <v>303</v>
      </c>
      <c r="AF261" s="58">
        <v>46237</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7.424E-2</v>
      </c>
      <c r="BC261" s="60">
        <v>4.0599999999999996</v>
      </c>
      <c r="BD261" s="61">
        <v>6.0295000000000001E-2</v>
      </c>
      <c r="BE261" s="62" t="s">
        <v>293</v>
      </c>
      <c r="BF261" s="35">
        <f t="shared" si="489"/>
        <v>4.0600000000000005</v>
      </c>
      <c r="BG261" s="35">
        <f t="shared" si="489"/>
        <v>6.0295000000000001E-2</v>
      </c>
      <c r="BH261" s="35" t="str">
        <f t="shared" si="490"/>
        <v>Low</v>
      </c>
      <c r="BI261" s="110">
        <f t="shared" si="491"/>
        <v>0</v>
      </c>
      <c r="BJ261" s="83">
        <f>VLOOKUP($F261,REP_Info!$D$6:$H$250,5,FALSE)</f>
        <v>1.5649999999999999</v>
      </c>
      <c r="BK261" s="30">
        <f t="shared" si="492"/>
        <v>13.265499999999999</v>
      </c>
      <c r="BL261" s="30">
        <f t="shared" si="492"/>
        <v>13.359500000000001</v>
      </c>
      <c r="BM261" s="30">
        <f t="shared" si="492"/>
        <v>13.406499999999999</v>
      </c>
      <c r="BN261" s="29">
        <f t="shared" si="492"/>
        <v>13.422166666666667</v>
      </c>
      <c r="BO261" s="85" t="str">
        <f t="shared" si="2"/>
        <v>$$$</v>
      </c>
      <c r="BP261" s="88" t="str">
        <f t="shared" si="493"/>
        <v>$$$</v>
      </c>
      <c r="BQ261" s="88" t="str">
        <f t="shared" si="4"/>
        <v>$$$</v>
      </c>
      <c r="BR261" s="88" t="str">
        <f t="shared" si="5"/>
        <v>$$$</v>
      </c>
      <c r="BS261" s="29" t="e">
        <f t="shared" si="494"/>
        <v>#N/A</v>
      </c>
      <c r="BT261" s="29" t="e">
        <f t="shared" si="494"/>
        <v>#N/A</v>
      </c>
      <c r="BU261" s="29" t="e">
        <f t="shared" si="494"/>
        <v>#N/A</v>
      </c>
      <c r="BV261" s="29" t="e">
        <f t="shared" si="494"/>
        <v>#N/A</v>
      </c>
      <c r="BW261" s="29" t="e">
        <f t="shared" si="494"/>
        <v>#N/A</v>
      </c>
      <c r="BX261" s="29" t="e">
        <f t="shared" si="494"/>
        <v>#N/A</v>
      </c>
      <c r="BY261" s="29" t="e">
        <f t="shared" si="494"/>
        <v>#N/A</v>
      </c>
      <c r="BZ261" s="29" t="e">
        <f t="shared" si="494"/>
        <v>#N/A</v>
      </c>
      <c r="CA261" s="29" t="e">
        <f t="shared" si="494"/>
        <v>#N/A</v>
      </c>
      <c r="CB261" s="29" t="e">
        <f t="shared" si="494"/>
        <v>#N/A</v>
      </c>
      <c r="CC261" s="29" t="e">
        <f t="shared" si="494"/>
        <v>#N/A</v>
      </c>
      <c r="CD261" s="29" t="e">
        <f t="shared" si="494"/>
        <v>#N/A</v>
      </c>
      <c r="CE261" s="6" t="str">
        <f t="shared" si="453"/>
        <v/>
      </c>
      <c r="CF261" s="27" t="e">
        <f>IF(AND(CI261,NOT(AD261)),LOOKUP(CF$5,{0,750,1500},H261:J261),"")</f>
        <v>#N/A</v>
      </c>
      <c r="CG261" s="6" t="str">
        <f t="shared" si="454"/>
        <v/>
      </c>
      <c r="CH261" t="e">
        <f t="shared" si="495"/>
        <v>#N/A</v>
      </c>
      <c r="CI261" t="e">
        <f t="shared" si="496"/>
        <v>#N/A</v>
      </c>
      <c r="CJ261" s="6" t="e">
        <f t="shared" si="11"/>
        <v>#N/A</v>
      </c>
      <c r="CK261" s="6">
        <f t="shared" si="12"/>
        <v>1</v>
      </c>
      <c r="CL261" s="6">
        <f t="shared" si="26"/>
        <v>1</v>
      </c>
      <c r="CM261" s="6">
        <f t="shared" si="13"/>
        <v>1</v>
      </c>
      <c r="CN261" s="6">
        <f t="shared" si="14"/>
        <v>1</v>
      </c>
      <c r="CO261" s="6">
        <f t="shared" si="15"/>
        <v>0</v>
      </c>
      <c r="CP261" s="6">
        <f t="shared" si="16"/>
        <v>1</v>
      </c>
      <c r="CQ261" s="6">
        <f t="shared" si="497"/>
        <v>1</v>
      </c>
      <c r="CR261" s="81" t="str">
        <f t="shared" si="17"/>
        <v/>
      </c>
      <c r="CS261">
        <f t="shared" si="498"/>
        <v>0</v>
      </c>
      <c r="CT261">
        <f t="shared" si="19"/>
        <v>20</v>
      </c>
      <c r="CU261" t="str">
        <f t="shared" si="29"/>
        <v>rm</v>
      </c>
      <c r="CV261" s="81">
        <f t="shared" si="499"/>
        <v>480</v>
      </c>
      <c r="CW261" s="81">
        <f>(CV261/25)^1.5*(Calculator!$BU$4/10000)*CW$5</f>
        <v>217.23305503786497</v>
      </c>
      <c r="CX261" t="str">
        <f t="shared" si="500"/>
        <v>$20/rm</v>
      </c>
    </row>
    <row r="262" spans="2:102" x14ac:dyDescent="0.25">
      <c r="B262" s="115" t="s">
        <v>233</v>
      </c>
      <c r="C262" s="13">
        <v>46236.341666666667</v>
      </c>
      <c r="D262">
        <v>35818</v>
      </c>
      <c r="E262" s="54" t="s">
        <v>235</v>
      </c>
      <c r="F262" s="54" t="s">
        <v>661</v>
      </c>
      <c r="G262" s="54" t="s">
        <v>672</v>
      </c>
      <c r="H262" s="55">
        <v>12.7</v>
      </c>
      <c r="I262" s="55">
        <v>12.7</v>
      </c>
      <c r="J262" s="55">
        <v>12.8</v>
      </c>
      <c r="K262" s="54"/>
      <c r="L262" s="56" t="b">
        <v>0</v>
      </c>
      <c r="M262" s="56" t="b">
        <v>0</v>
      </c>
      <c r="N262" s="54">
        <v>1</v>
      </c>
      <c r="O262" s="54" t="s">
        <v>228</v>
      </c>
      <c r="P262" s="54">
        <v>100</v>
      </c>
      <c r="Q262" s="54">
        <v>36</v>
      </c>
      <c r="R262" s="54" t="s">
        <v>507</v>
      </c>
      <c r="S262" s="54" t="s">
        <v>1731</v>
      </c>
      <c r="T262" s="54" t="s">
        <v>663</v>
      </c>
      <c r="U262" s="54" t="s">
        <v>664</v>
      </c>
      <c r="V262" s="54" t="s">
        <v>665</v>
      </c>
      <c r="W262" s="54" t="b">
        <v>0</v>
      </c>
      <c r="X262" s="54"/>
      <c r="Y262" s="57" t="s">
        <v>673</v>
      </c>
      <c r="Z262" s="54" t="s">
        <v>1736</v>
      </c>
      <c r="AA262" s="54"/>
      <c r="AB262" s="54" t="s">
        <v>667</v>
      </c>
      <c r="AC262" s="56" t="b">
        <v>0</v>
      </c>
      <c r="AD262" s="56" t="b">
        <v>0</v>
      </c>
      <c r="AE262" s="54" t="s">
        <v>303</v>
      </c>
      <c r="AF262" s="58">
        <v>46234</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7.6130000000000003E-2</v>
      </c>
      <c r="BC262" s="60">
        <v>4.9000000000000004</v>
      </c>
      <c r="BD262" s="61">
        <v>5.1461E-2</v>
      </c>
      <c r="BE262" s="62" t="s">
        <v>293</v>
      </c>
      <c r="BF262" s="35">
        <f t="shared" ref="BF262:BG264" si="501">IF($E262=$E$4,BF$4,IF($E262=$E$5,BF$5,""))</f>
        <v>4.9000000000000004</v>
      </c>
      <c r="BG262" s="35">
        <f t="shared" si="501"/>
        <v>5.1461E-2</v>
      </c>
      <c r="BH262" s="35" t="str">
        <f t="shared" ref="BH262:BH264" si="502">IF(ISTEXT(BE262),IF(AND(AV262=0,SUM(AN262:AQ262)=0),IF(AM262&lt;=0,IF(BE262="Y","Low","Flat"),"Med"),"High"),"?")</f>
        <v>Low</v>
      </c>
      <c r="BI262" s="110">
        <f t="shared" ref="BI262:BI264" si="503">IF(ISNUMBER(AH262),0*BI$5*SIN((EDATE($A$3,$Q262)-DATE(YEAR(EDATE($A$3,$Q262)),1,0)-BI$4)*2*PI()/365),"")</f>
        <v>0</v>
      </c>
      <c r="BJ262" s="83">
        <f>VLOOKUP($F262,REP_Info!$D$6:$H$250,5,FALSE)</f>
        <v>1.5649999999999999</v>
      </c>
      <c r="BK262" s="30">
        <f t="shared" ref="BK262:BN264" si="504">IF(BK$7&gt;0,(LOOKUP(BK$7,$AH262:$AL262,$AM262:$AQ262)+IF($AG262="Y",SUMPRODUCT($AX262:$BB262-$AW262:$BA262,BK$7-$AR262:$AV262,N(BK$7&gt;$AR262:$AV262)),BK$7*LOOKUP(BK$7,$AR262:$AV262,$AX262:$BB262))+IF($BE262="Y",$BF262,$BC262)+BK$7*IF($BE262="Y",$BG262,$BD262))*100/BK$7,"")</f>
        <v>12.739100000000001</v>
      </c>
      <c r="BL262" s="30">
        <f t="shared" si="504"/>
        <v>12.749100000000002</v>
      </c>
      <c r="BM262" s="30">
        <f t="shared" si="504"/>
        <v>12.754100000000001</v>
      </c>
      <c r="BN262" s="29">
        <f t="shared" si="504"/>
        <v>12.755766666666668</v>
      </c>
      <c r="BO262" s="85" t="str">
        <f t="shared" ref="BO262:BO264" si="505">IFERROR(SUMPRODUCT($BS$7:$CD$7,$BS262:$CD262)/100,"$$$")</f>
        <v>$$$</v>
      </c>
      <c r="BP262" s="88" t="str">
        <f t="shared" ref="BP262:BP264" si="506">IFERROR(BO262*100/BO$5,"$$$")</f>
        <v>$$$</v>
      </c>
      <c r="BQ262" s="88" t="str">
        <f t="shared" ref="BQ262:BQ264" si="507">IFERROR(SUMPRODUCT($BS$7:$CD$7,$BS262:$CD262,--($BS$4:$CD$4&lt;=$Q262))/SUMPRODUCT(--($BS$4:$CD$4&lt;=$Q262),$BS$7:$CD$7),"$$$")</f>
        <v>$$$</v>
      </c>
      <c r="BR262" s="88" t="str">
        <f t="shared" ref="BR262:BR264" si="508">IFERROR($BQ262-$BF262*100*SUMPRODUCT(--($BS$4:$CD$4&lt;=$Q262))/SUMPRODUCT(--($BS$4:$CD$4&lt;=$Q262),$BS$7:$CD$7)-$BG262*100,"$$$")</f>
        <v>$$$</v>
      </c>
      <c r="BS262" s="29" t="e">
        <f t="shared" ref="BS262:CD264" si="509">IF($CI262,IF(BS$7&gt;0,IF(BS$4&gt;$Q262,$BF262+BS$7*(BS$5+$BG262+$BI262),LOOKUP(BS$7,$AH262:$AL262,$AM262:$AQ262)+IF($AG262="Y",SUMPRODUCT($AX262:$BB262-$AW262:$BA262,BS$7-$AR262:$AV262,N(BS$7&gt;$AR262:$AV262)),BS$7*LOOKUP(BS$7,$AR262:$AV262,$AX262:$BB262))+IF($BE262="Y",$BF262,$BC262)+BS$7*IF($BE262="Y",$BG262,$BD262))*100/BS$7,""),NA())</f>
        <v>#N/A</v>
      </c>
      <c r="BT262" s="29" t="e">
        <f t="shared" si="509"/>
        <v>#N/A</v>
      </c>
      <c r="BU262" s="29" t="e">
        <f t="shared" si="509"/>
        <v>#N/A</v>
      </c>
      <c r="BV262" s="29" t="e">
        <f t="shared" si="509"/>
        <v>#N/A</v>
      </c>
      <c r="BW262" s="29" t="e">
        <f t="shared" si="509"/>
        <v>#N/A</v>
      </c>
      <c r="BX262" s="29" t="e">
        <f t="shared" si="509"/>
        <v>#N/A</v>
      </c>
      <c r="BY262" s="29" t="e">
        <f t="shared" si="509"/>
        <v>#N/A</v>
      </c>
      <c r="BZ262" s="29" t="e">
        <f t="shared" si="509"/>
        <v>#N/A</v>
      </c>
      <c r="CA262" s="29" t="e">
        <f t="shared" si="509"/>
        <v>#N/A</v>
      </c>
      <c r="CB262" s="29" t="e">
        <f t="shared" si="509"/>
        <v>#N/A</v>
      </c>
      <c r="CC262" s="29" t="e">
        <f t="shared" si="509"/>
        <v>#N/A</v>
      </c>
      <c r="CD262" s="29" t="e">
        <f t="shared" si="509"/>
        <v>#N/A</v>
      </c>
      <c r="CE262" s="6" t="str">
        <f t="shared" si="453"/>
        <v/>
      </c>
      <c r="CF262" s="27" t="e">
        <f>IF(AND(CI262,NOT(AD262)),LOOKUP(CF$5,{0,750,1500},H262:J262),"")</f>
        <v>#N/A</v>
      </c>
      <c r="CG262" s="6" t="str">
        <f t="shared" si="454"/>
        <v/>
      </c>
      <c r="CH262" t="e">
        <f t="shared" ref="CH262:CH264" si="510">IF(CI262,IF(ISNUMBER(BO262),BO262,100000)+CV262/10000+IF(ISNUMBER(BJ262),BJ262,2)/10000-P262/100000+ROW()/10000000,"")</f>
        <v>#N/A</v>
      </c>
      <c r="CI262" t="e">
        <f t="shared" ref="CI262:CI264" si="511">PRODUCT(CJ262:CQ262)</f>
        <v>#N/A</v>
      </c>
      <c r="CJ262" s="6" t="e">
        <f t="shared" ref="CJ262:CJ264" si="512">IF($E262=CJ$5,1,0)</f>
        <v>#N/A</v>
      </c>
      <c r="CK262" s="6">
        <f t="shared" ref="CK262:CK264" si="513">IF(CK$5="[Any]",1,IF($F262=CK$5,1,0))</f>
        <v>1</v>
      </c>
      <c r="CL262" s="6">
        <f t="shared" si="26"/>
        <v>1</v>
      </c>
      <c r="CM262" s="6">
        <f t="shared" ref="CM262:CM264" si="514">IF($O262="Fixed",1,0)</f>
        <v>1</v>
      </c>
      <c r="CN262" s="6">
        <f t="shared" ref="CN262:CN264" si="515">IF($Q262&gt;=CN$5,1,0)</f>
        <v>1</v>
      </c>
      <c r="CO262" s="6">
        <f t="shared" ref="CO262:CO264" si="516">IF($Q262&lt;=CO$5,1,0)</f>
        <v>0</v>
      </c>
      <c r="CP262" s="6">
        <f t="shared" ref="CP262:CP264" si="517">IF($P262&gt;=CP$5,1,0)</f>
        <v>1</v>
      </c>
      <c r="CQ262" s="6">
        <f t="shared" ref="CQ262:CQ264" si="518">IF(CQ$5="Any",1,IF(AND(CQ$5="Med",AV262=0,SUM(AN262:AQ262)=0),1,IF(AND(CQ$5="Low",AV262=0,SUM(AN262:AQ262)=0,AM262=0),1,IF(AND(CQ$5="Flat",AV262=0,SUM(AN262:AQ262)=0,AM262=0,IFERROR(NOT(BE262="Y"),0)),1,0))))</f>
        <v>1</v>
      </c>
      <c r="CR262" s="81" t="str">
        <f t="shared" ref="CR262:CR264" si="519">IF(ISNUMBER($CH262),$CH262+$CS262+$CW262,"")</f>
        <v/>
      </c>
      <c r="CS262">
        <f t="shared" ref="CS262:CS264" si="520">CS$5*(12/(MIN(12,Q262))-1)</f>
        <v>0</v>
      </c>
      <c r="CT262">
        <f t="shared" si="19"/>
        <v>20</v>
      </c>
      <c r="CU262" t="str">
        <f t="shared" si="29"/>
        <v>rm</v>
      </c>
      <c r="CV262" s="81">
        <f t="shared" ref="CV262:CV264" si="521">CT262*IF(CU262="",1,Q262)</f>
        <v>720</v>
      </c>
      <c r="CW262" s="81">
        <f>(CV262/25)^1.5*(Calculator!$BU$4/10000)*CW$5</f>
        <v>399.08260508152779</v>
      </c>
      <c r="CX262" t="str">
        <f t="shared" ref="CX262:CX264" si="522">"$"&amp;IF(LEFT(CU262,1)="r",CT262&amp;"/"&amp;CU262,CV262)</f>
        <v>$20/rm</v>
      </c>
    </row>
    <row r="263" spans="2:102" x14ac:dyDescent="0.25">
      <c r="B263" s="115" t="s">
        <v>233</v>
      </c>
      <c r="C263" s="13">
        <v>46237.767361111109</v>
      </c>
      <c r="D263">
        <v>35820</v>
      </c>
      <c r="E263" s="54" t="s">
        <v>237</v>
      </c>
      <c r="F263" s="54" t="s">
        <v>661</v>
      </c>
      <c r="G263" s="54" t="s">
        <v>672</v>
      </c>
      <c r="H263" s="55">
        <v>13.600000000000001</v>
      </c>
      <c r="I263" s="55">
        <v>13.700000000000001</v>
      </c>
      <c r="J263" s="55">
        <v>13.700000000000001</v>
      </c>
      <c r="K263" s="54"/>
      <c r="L263" s="56" t="b">
        <v>0</v>
      </c>
      <c r="M263" s="56" t="b">
        <v>0</v>
      </c>
      <c r="N263" s="54">
        <v>1</v>
      </c>
      <c r="O263" s="54" t="s">
        <v>228</v>
      </c>
      <c r="P263" s="54">
        <v>100</v>
      </c>
      <c r="Q263" s="54">
        <v>36</v>
      </c>
      <c r="R263" s="54" t="s">
        <v>507</v>
      </c>
      <c r="S263" s="54" t="s">
        <v>1731</v>
      </c>
      <c r="T263" s="54" t="s">
        <v>663</v>
      </c>
      <c r="U263" s="54" t="s">
        <v>664</v>
      </c>
      <c r="V263" s="54" t="s">
        <v>665</v>
      </c>
      <c r="W263" s="54" t="b">
        <v>0</v>
      </c>
      <c r="X263" s="54"/>
      <c r="Y263" s="57" t="s">
        <v>674</v>
      </c>
      <c r="Z263" s="54" t="s">
        <v>1737</v>
      </c>
      <c r="AA263" s="54"/>
      <c r="AB263" s="54" t="s">
        <v>667</v>
      </c>
      <c r="AC263" s="56" t="b">
        <v>0</v>
      </c>
      <c r="AD263" s="56" t="b">
        <v>0</v>
      </c>
      <c r="AE263" s="54" t="s">
        <v>303</v>
      </c>
      <c r="AF263" s="58">
        <v>46237</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7.7240000000000003E-2</v>
      </c>
      <c r="BC263" s="60">
        <v>4.0599999999999996</v>
      </c>
      <c r="BD263" s="61">
        <v>6.0295000000000001E-2</v>
      </c>
      <c r="BE263" s="62" t="s">
        <v>293</v>
      </c>
      <c r="BF263" s="35">
        <f t="shared" si="501"/>
        <v>4.0600000000000005</v>
      </c>
      <c r="BG263" s="35">
        <f t="shared" si="501"/>
        <v>6.0295000000000001E-2</v>
      </c>
      <c r="BH263" s="35" t="str">
        <f t="shared" si="502"/>
        <v>Low</v>
      </c>
      <c r="BI263" s="110">
        <f t="shared" si="503"/>
        <v>0</v>
      </c>
      <c r="BJ263" s="83">
        <f>VLOOKUP($F263,REP_Info!$D$6:$H$250,5,FALSE)</f>
        <v>1.5649999999999999</v>
      </c>
      <c r="BK263" s="30">
        <f t="shared" si="504"/>
        <v>13.565500000000004</v>
      </c>
      <c r="BL263" s="30">
        <f t="shared" si="504"/>
        <v>13.659500000000003</v>
      </c>
      <c r="BM263" s="30">
        <f t="shared" si="504"/>
        <v>13.7065</v>
      </c>
      <c r="BN263" s="29">
        <f t="shared" si="504"/>
        <v>13.722166666666666</v>
      </c>
      <c r="BO263" s="85" t="str">
        <f t="shared" si="505"/>
        <v>$$$</v>
      </c>
      <c r="BP263" s="88" t="str">
        <f t="shared" si="506"/>
        <v>$$$</v>
      </c>
      <c r="BQ263" s="88" t="str">
        <f t="shared" si="507"/>
        <v>$$$</v>
      </c>
      <c r="BR263" s="88" t="str">
        <f t="shared" si="508"/>
        <v>$$$</v>
      </c>
      <c r="BS263" s="29" t="e">
        <f t="shared" si="509"/>
        <v>#N/A</v>
      </c>
      <c r="BT263" s="29" t="e">
        <f t="shared" si="509"/>
        <v>#N/A</v>
      </c>
      <c r="BU263" s="29" t="e">
        <f t="shared" si="509"/>
        <v>#N/A</v>
      </c>
      <c r="BV263" s="29" t="e">
        <f t="shared" si="509"/>
        <v>#N/A</v>
      </c>
      <c r="BW263" s="29" t="e">
        <f t="shared" si="509"/>
        <v>#N/A</v>
      </c>
      <c r="BX263" s="29" t="e">
        <f t="shared" si="509"/>
        <v>#N/A</v>
      </c>
      <c r="BY263" s="29" t="e">
        <f t="shared" si="509"/>
        <v>#N/A</v>
      </c>
      <c r="BZ263" s="29" t="e">
        <f t="shared" si="509"/>
        <v>#N/A</v>
      </c>
      <c r="CA263" s="29" t="e">
        <f t="shared" si="509"/>
        <v>#N/A</v>
      </c>
      <c r="CB263" s="29" t="e">
        <f t="shared" si="509"/>
        <v>#N/A</v>
      </c>
      <c r="CC263" s="29" t="e">
        <f t="shared" si="509"/>
        <v>#N/A</v>
      </c>
      <c r="CD263" s="29" t="e">
        <f t="shared" si="509"/>
        <v>#N/A</v>
      </c>
      <c r="CE263" s="6" t="str">
        <f t="shared" si="453"/>
        <v/>
      </c>
      <c r="CF263" s="27" t="e">
        <f>IF(AND(CI263,NOT(AD263)),LOOKUP(CF$5,{0,750,1500},H263:J263),"")</f>
        <v>#N/A</v>
      </c>
      <c r="CG263" s="6" t="str">
        <f t="shared" si="454"/>
        <v/>
      </c>
      <c r="CH263" t="e">
        <f t="shared" si="510"/>
        <v>#N/A</v>
      </c>
      <c r="CI263" t="e">
        <f t="shared" si="511"/>
        <v>#N/A</v>
      </c>
      <c r="CJ263" s="6" t="e">
        <f t="shared" si="512"/>
        <v>#N/A</v>
      </c>
      <c r="CK263" s="6">
        <f t="shared" si="513"/>
        <v>1</v>
      </c>
      <c r="CL263" s="6">
        <f t="shared" si="26"/>
        <v>1</v>
      </c>
      <c r="CM263" s="6">
        <f t="shared" si="514"/>
        <v>1</v>
      </c>
      <c r="CN263" s="6">
        <f t="shared" si="515"/>
        <v>1</v>
      </c>
      <c r="CO263" s="6">
        <f t="shared" si="516"/>
        <v>0</v>
      </c>
      <c r="CP263" s="6">
        <f t="shared" si="517"/>
        <v>1</v>
      </c>
      <c r="CQ263" s="6">
        <f t="shared" si="518"/>
        <v>1</v>
      </c>
      <c r="CR263" s="81" t="str">
        <f t="shared" si="519"/>
        <v/>
      </c>
      <c r="CS263">
        <f t="shared" si="520"/>
        <v>0</v>
      </c>
      <c r="CT263">
        <f t="shared" si="19"/>
        <v>20</v>
      </c>
      <c r="CU263" t="str">
        <f t="shared" si="29"/>
        <v>rm</v>
      </c>
      <c r="CV263" s="81">
        <f t="shared" si="521"/>
        <v>720</v>
      </c>
      <c r="CW263" s="81">
        <f>(CV263/25)^1.5*(Calculator!$BU$4/10000)*CW$5</f>
        <v>399.08260508152779</v>
      </c>
      <c r="CX263" t="str">
        <f t="shared" si="522"/>
        <v>$20/rm</v>
      </c>
    </row>
    <row r="264" spans="2:102" x14ac:dyDescent="0.25">
      <c r="B264" s="115" t="s">
        <v>233</v>
      </c>
      <c r="C264" s="13">
        <v>46227.60833333333</v>
      </c>
      <c r="D264">
        <v>36353</v>
      </c>
      <c r="E264" s="54" t="s">
        <v>235</v>
      </c>
      <c r="F264" s="54" t="s">
        <v>661</v>
      </c>
      <c r="G264" s="54" t="s">
        <v>1660</v>
      </c>
      <c r="H264" s="55">
        <v>19.100000000000001</v>
      </c>
      <c r="I264" s="55">
        <v>6.6000000000000005</v>
      </c>
      <c r="J264" s="55">
        <v>12.9</v>
      </c>
      <c r="K264" s="54" t="s">
        <v>1661</v>
      </c>
      <c r="L264" s="56" t="b">
        <v>0</v>
      </c>
      <c r="M264" s="56" t="b">
        <v>0</v>
      </c>
      <c r="N264" s="54">
        <v>1</v>
      </c>
      <c r="O264" s="54" t="s">
        <v>228</v>
      </c>
      <c r="P264" s="54">
        <v>100</v>
      </c>
      <c r="Q264" s="54">
        <v>12</v>
      </c>
      <c r="R264" s="54" t="s">
        <v>507</v>
      </c>
      <c r="S264" s="54" t="s">
        <v>1731</v>
      </c>
      <c r="T264" s="54" t="s">
        <v>663</v>
      </c>
      <c r="U264" s="54" t="s">
        <v>664</v>
      </c>
      <c r="V264" s="54" t="s">
        <v>665</v>
      </c>
      <c r="W264" s="54" t="b">
        <v>0</v>
      </c>
      <c r="X264" s="54"/>
      <c r="Y264" s="57" t="s">
        <v>1662</v>
      </c>
      <c r="Z264" s="54" t="s">
        <v>1738</v>
      </c>
      <c r="AA264" s="54"/>
      <c r="AB264" s="54" t="s">
        <v>667</v>
      </c>
      <c r="AC264" s="56" t="b">
        <v>0</v>
      </c>
      <c r="AD264" s="56" t="b">
        <v>1</v>
      </c>
      <c r="AE264" s="54" t="s">
        <v>303</v>
      </c>
      <c r="AF264" s="58">
        <v>46227</v>
      </c>
      <c r="AG264" s="62" t="s">
        <v>293</v>
      </c>
      <c r="AH264" s="54">
        <v>0</v>
      </c>
      <c r="AI264" s="54">
        <v>1000</v>
      </c>
      <c r="AJ264" s="54"/>
      <c r="AK264" s="54"/>
      <c r="AL264" s="54"/>
      <c r="AM264" s="54">
        <v>-5</v>
      </c>
      <c r="AN264" s="54">
        <v>-130</v>
      </c>
      <c r="AO264" s="54"/>
      <c r="AP264" s="54"/>
      <c r="AQ264" s="54"/>
      <c r="AR264" s="54"/>
      <c r="AS264" s="54"/>
      <c r="AT264" s="54"/>
      <c r="AU264" s="54"/>
      <c r="AV264" s="54"/>
      <c r="AW264" s="54"/>
      <c r="AX264" s="59"/>
      <c r="AY264" s="59"/>
      <c r="AZ264" s="59"/>
      <c r="BA264" s="59"/>
      <c r="BB264" s="59">
        <v>0.13961999999999999</v>
      </c>
      <c r="BC264" s="60">
        <v>4.9000000000000004</v>
      </c>
      <c r="BD264" s="61">
        <v>5.1461E-2</v>
      </c>
      <c r="BE264" s="62" t="s">
        <v>293</v>
      </c>
      <c r="BF264" s="35">
        <f t="shared" si="501"/>
        <v>4.9000000000000004</v>
      </c>
      <c r="BG264" s="35">
        <f t="shared" si="501"/>
        <v>5.1461E-2</v>
      </c>
      <c r="BH264" s="35" t="str">
        <f t="shared" si="502"/>
        <v>High</v>
      </c>
      <c r="BI264" s="110">
        <f t="shared" si="503"/>
        <v>0</v>
      </c>
      <c r="BJ264" s="83">
        <f>VLOOKUP($F264,REP_Info!$D$6:$H$250,5,FALSE)</f>
        <v>1.5649999999999999</v>
      </c>
      <c r="BK264" s="30">
        <f t="shared" si="504"/>
        <v>19.088100000000001</v>
      </c>
      <c r="BL264" s="30">
        <f t="shared" si="504"/>
        <v>6.5981000000000014</v>
      </c>
      <c r="BM264" s="30">
        <f t="shared" si="504"/>
        <v>12.8531</v>
      </c>
      <c r="BN264" s="29">
        <f t="shared" si="504"/>
        <v>14.938099999999997</v>
      </c>
      <c r="BO264" s="85" t="str">
        <f t="shared" si="505"/>
        <v>$$$</v>
      </c>
      <c r="BP264" s="88" t="str">
        <f t="shared" si="506"/>
        <v>$$$</v>
      </c>
      <c r="BQ264" s="88" t="str">
        <f t="shared" si="507"/>
        <v>$$$</v>
      </c>
      <c r="BR264" s="88" t="str">
        <f t="shared" si="508"/>
        <v>$$$</v>
      </c>
      <c r="BS264" s="29" t="e">
        <f t="shared" si="509"/>
        <v>#N/A</v>
      </c>
      <c r="BT264" s="29" t="e">
        <f t="shared" si="509"/>
        <v>#N/A</v>
      </c>
      <c r="BU264" s="29" t="e">
        <f t="shared" si="509"/>
        <v>#N/A</v>
      </c>
      <c r="BV264" s="29" t="e">
        <f t="shared" si="509"/>
        <v>#N/A</v>
      </c>
      <c r="BW264" s="29" t="e">
        <f t="shared" si="509"/>
        <v>#N/A</v>
      </c>
      <c r="BX264" s="29" t="e">
        <f t="shared" si="509"/>
        <v>#N/A</v>
      </c>
      <c r="BY264" s="29" t="e">
        <f t="shared" si="509"/>
        <v>#N/A</v>
      </c>
      <c r="BZ264" s="29" t="e">
        <f t="shared" si="509"/>
        <v>#N/A</v>
      </c>
      <c r="CA264" s="29" t="e">
        <f t="shared" si="509"/>
        <v>#N/A</v>
      </c>
      <c r="CB264" s="29" t="e">
        <f t="shared" si="509"/>
        <v>#N/A</v>
      </c>
      <c r="CC264" s="29" t="e">
        <f t="shared" si="509"/>
        <v>#N/A</v>
      </c>
      <c r="CD264" s="29" t="e">
        <f t="shared" si="509"/>
        <v>#N/A</v>
      </c>
      <c r="CE264" s="6" t="str">
        <f t="shared" si="453"/>
        <v/>
      </c>
      <c r="CF264" s="27" t="e">
        <f>IF(AND(CI264,NOT(AD264)),LOOKUP(CF$5,{0,750,1500},H264:J264),"")</f>
        <v>#N/A</v>
      </c>
      <c r="CG264" s="6" t="str">
        <f t="shared" si="454"/>
        <v/>
      </c>
      <c r="CH264" t="e">
        <f t="shared" si="510"/>
        <v>#N/A</v>
      </c>
      <c r="CI264" t="e">
        <f t="shared" si="511"/>
        <v>#N/A</v>
      </c>
      <c r="CJ264" s="6" t="e">
        <f t="shared" si="512"/>
        <v>#N/A</v>
      </c>
      <c r="CK264" s="6">
        <f t="shared" si="513"/>
        <v>1</v>
      </c>
      <c r="CL264" s="6">
        <f t="shared" si="26"/>
        <v>1</v>
      </c>
      <c r="CM264" s="6">
        <f t="shared" si="514"/>
        <v>1</v>
      </c>
      <c r="CN264" s="6">
        <f t="shared" si="515"/>
        <v>1</v>
      </c>
      <c r="CO264" s="6">
        <f t="shared" si="516"/>
        <v>1</v>
      </c>
      <c r="CP264" s="6">
        <f t="shared" si="517"/>
        <v>1</v>
      </c>
      <c r="CQ264" s="6">
        <f t="shared" si="518"/>
        <v>1</v>
      </c>
      <c r="CR264" s="81" t="str">
        <f t="shared" si="519"/>
        <v/>
      </c>
      <c r="CS264">
        <f t="shared" si="520"/>
        <v>0</v>
      </c>
      <c r="CT264">
        <f t="shared" si="19"/>
        <v>20</v>
      </c>
      <c r="CU264" t="str">
        <f t="shared" si="29"/>
        <v>rm</v>
      </c>
      <c r="CV264" s="81">
        <f t="shared" si="521"/>
        <v>240</v>
      </c>
      <c r="CW264" s="81">
        <f>(CV264/25)^1.5*(Calculator!$BU$4/10000)*CW$5</f>
        <v>76.803483157572401</v>
      </c>
      <c r="CX264" t="str">
        <f t="shared" si="522"/>
        <v>$20/rm</v>
      </c>
    </row>
    <row r="265" spans="2:102" x14ac:dyDescent="0.25">
      <c r="B265" s="115" t="s">
        <v>233</v>
      </c>
      <c r="C265" s="13">
        <v>46237.767361111109</v>
      </c>
      <c r="D265">
        <v>36355</v>
      </c>
      <c r="E265" s="54" t="s">
        <v>237</v>
      </c>
      <c r="F265" s="54" t="s">
        <v>661</v>
      </c>
      <c r="G265" s="54" t="s">
        <v>1660</v>
      </c>
      <c r="H265" s="55">
        <v>19.8</v>
      </c>
      <c r="I265" s="55">
        <v>7.3999999999999995</v>
      </c>
      <c r="J265" s="55">
        <v>13.700000000000001</v>
      </c>
      <c r="K265" s="54" t="s">
        <v>1661</v>
      </c>
      <c r="L265" s="56" t="b">
        <v>0</v>
      </c>
      <c r="M265" s="56" t="b">
        <v>0</v>
      </c>
      <c r="N265" s="54">
        <v>1</v>
      </c>
      <c r="O265" s="54" t="s">
        <v>228</v>
      </c>
      <c r="P265" s="54">
        <v>100</v>
      </c>
      <c r="Q265" s="54">
        <v>12</v>
      </c>
      <c r="R265" s="54" t="s">
        <v>507</v>
      </c>
      <c r="S265" s="54" t="s">
        <v>1731</v>
      </c>
      <c r="T265" s="54" t="s">
        <v>663</v>
      </c>
      <c r="U265" s="54" t="s">
        <v>664</v>
      </c>
      <c r="V265" s="54" t="s">
        <v>665</v>
      </c>
      <c r="W265" s="54" t="b">
        <v>0</v>
      </c>
      <c r="X265" s="54"/>
      <c r="Y265" s="57" t="s">
        <v>1663</v>
      </c>
      <c r="Z265" s="54" t="s">
        <v>1739</v>
      </c>
      <c r="AA265" s="54"/>
      <c r="AB265" s="54" t="s">
        <v>667</v>
      </c>
      <c r="AC265" s="56" t="b">
        <v>0</v>
      </c>
      <c r="AD265" s="56" t="b">
        <v>1</v>
      </c>
      <c r="AE265" s="54" t="s">
        <v>303</v>
      </c>
      <c r="AF265" s="58">
        <v>46237</v>
      </c>
      <c r="AG265" s="62" t="s">
        <v>293</v>
      </c>
      <c r="AH265" s="54">
        <v>0</v>
      </c>
      <c r="AI265" s="54">
        <v>1000</v>
      </c>
      <c r="AJ265" s="54"/>
      <c r="AK265" s="54"/>
      <c r="AL265" s="54"/>
      <c r="AM265" s="54">
        <v>-5</v>
      </c>
      <c r="AN265" s="54">
        <v>-130</v>
      </c>
      <c r="AO265" s="54"/>
      <c r="AP265" s="54"/>
      <c r="AQ265" s="54"/>
      <c r="AR265" s="54"/>
      <c r="AS265" s="54"/>
      <c r="AT265" s="54"/>
      <c r="AU265" s="54"/>
      <c r="AV265" s="54"/>
      <c r="AW265" s="54"/>
      <c r="AX265" s="59"/>
      <c r="AY265" s="59"/>
      <c r="AZ265" s="59"/>
      <c r="BA265" s="59"/>
      <c r="BB265" s="59">
        <v>0.13972999999999999</v>
      </c>
      <c r="BC265" s="60">
        <v>4.0599999999999996</v>
      </c>
      <c r="BD265" s="61">
        <v>6.0295000000000001E-2</v>
      </c>
      <c r="BE265" s="62" t="s">
        <v>293</v>
      </c>
      <c r="BF265" s="35">
        <f t="shared" ref="BF265:BG266" si="523">IF($E265=$E$4,BF$4,IF($E265=$E$5,BF$5,""))</f>
        <v>4.0600000000000005</v>
      </c>
      <c r="BG265" s="35">
        <f t="shared" si="523"/>
        <v>6.0295000000000001E-2</v>
      </c>
      <c r="BH265" s="35" t="str">
        <f t="shared" ref="BH265:BH266" si="524">IF(ISTEXT(BE265),IF(AND(AV265=0,SUM(AN265:AQ265)=0),IF(AM265&lt;=0,IF(BE265="Y","Low","Flat"),"Med"),"High"),"?")</f>
        <v>High</v>
      </c>
      <c r="BI265" s="110">
        <f t="shared" ref="BI265:BI266" si="525">IF(ISNUMBER(AH265),0*BI$5*SIN((EDATE($A$3,$Q265)-DATE(YEAR(EDATE($A$3,$Q265)),1,0)-BI$4)*2*PI()/365),"")</f>
        <v>0</v>
      </c>
      <c r="BJ265" s="83">
        <f>VLOOKUP($F265,REP_Info!$D$6:$H$250,5,FALSE)</f>
        <v>1.5649999999999999</v>
      </c>
      <c r="BK265" s="30">
        <f t="shared" ref="BK265:BN266" si="526">IF(BK$7&gt;0,(LOOKUP(BK$7,$AH265:$AL265,$AM265:$AQ265)+IF($AG265="Y",SUMPRODUCT($AX265:$BB265-$AW265:$BA265,BK$7-$AR265:$AV265,N(BK$7&gt;$AR265:$AV265)),BK$7*LOOKUP(BK$7,$AR265:$AV265,$AX265:$BB265))+IF($BE265="Y",$BF265,$BC265)+BK$7*IF($BE265="Y",$BG265,$BD265))*100/BK$7,"")</f>
        <v>19.814499999999999</v>
      </c>
      <c r="BL265" s="30">
        <f t="shared" si="526"/>
        <v>7.4084999999999992</v>
      </c>
      <c r="BM265" s="30">
        <f t="shared" si="526"/>
        <v>13.705500000000001</v>
      </c>
      <c r="BN265" s="29">
        <f t="shared" si="526"/>
        <v>15.804500000000001</v>
      </c>
      <c r="BO265" s="85" t="str">
        <f t="shared" si="2"/>
        <v>$$$</v>
      </c>
      <c r="BP265" s="88" t="str">
        <f t="shared" ref="BP265:BP266" si="527">IFERROR(BO265*100/BO$5,"$$$")</f>
        <v>$$$</v>
      </c>
      <c r="BQ265" s="88" t="str">
        <f t="shared" si="4"/>
        <v>$$$</v>
      </c>
      <c r="BR265" s="88" t="str">
        <f t="shared" si="5"/>
        <v>$$$</v>
      </c>
      <c r="BS265" s="29" t="e">
        <f t="shared" ref="BS265:CD266" si="528">IF($CI265,IF(BS$7&gt;0,IF(BS$4&gt;$Q265,$BF265+BS$7*(BS$5+$BG265+$BI265),LOOKUP(BS$7,$AH265:$AL265,$AM265:$AQ265)+IF($AG265="Y",SUMPRODUCT($AX265:$BB265-$AW265:$BA265,BS$7-$AR265:$AV265,N(BS$7&gt;$AR265:$AV265)),BS$7*LOOKUP(BS$7,$AR265:$AV265,$AX265:$BB265))+IF($BE265="Y",$BF265,$BC265)+BS$7*IF($BE265="Y",$BG265,$BD265))*100/BS$7,""),NA())</f>
        <v>#N/A</v>
      </c>
      <c r="BT265" s="29" t="e">
        <f t="shared" si="528"/>
        <v>#N/A</v>
      </c>
      <c r="BU265" s="29" t="e">
        <f t="shared" si="528"/>
        <v>#N/A</v>
      </c>
      <c r="BV265" s="29" t="e">
        <f t="shared" si="528"/>
        <v>#N/A</v>
      </c>
      <c r="BW265" s="29" t="e">
        <f t="shared" si="528"/>
        <v>#N/A</v>
      </c>
      <c r="BX265" s="29" t="e">
        <f t="shared" si="528"/>
        <v>#N/A</v>
      </c>
      <c r="BY265" s="29" t="e">
        <f t="shared" si="528"/>
        <v>#N/A</v>
      </c>
      <c r="BZ265" s="29" t="e">
        <f t="shared" si="528"/>
        <v>#N/A</v>
      </c>
      <c r="CA265" s="29" t="e">
        <f t="shared" si="528"/>
        <v>#N/A</v>
      </c>
      <c r="CB265" s="29" t="e">
        <f t="shared" si="528"/>
        <v>#N/A</v>
      </c>
      <c r="CC265" s="29" t="e">
        <f t="shared" si="528"/>
        <v>#N/A</v>
      </c>
      <c r="CD265" s="29" t="e">
        <f t="shared" si="528"/>
        <v>#N/A</v>
      </c>
      <c r="CE265" s="6" t="str">
        <f t="shared" si="453"/>
        <v/>
      </c>
      <c r="CF265" s="27" t="e">
        <f>IF(AND(CI265,NOT(AD265)),LOOKUP(CF$5,{0,750,1500},H265:J265),"")</f>
        <v>#N/A</v>
      </c>
      <c r="CG265" s="6" t="str">
        <f t="shared" si="454"/>
        <v/>
      </c>
      <c r="CH265" t="e">
        <f t="shared" ref="CH265:CH266" si="529">IF(CI265,IF(ISNUMBER(BO265),BO265,100000)+CV265/10000+IF(ISNUMBER(BJ265),BJ265,2)/10000-P265/100000+ROW()/10000000,"")</f>
        <v>#N/A</v>
      </c>
      <c r="CI265" t="e">
        <f t="shared" ref="CI265:CI266" si="530">PRODUCT(CJ265:CQ265)</f>
        <v>#N/A</v>
      </c>
      <c r="CJ265" s="6" t="e">
        <f t="shared" si="11"/>
        <v>#N/A</v>
      </c>
      <c r="CK265" s="6">
        <f t="shared" si="12"/>
        <v>1</v>
      </c>
      <c r="CL265" s="6">
        <f t="shared" si="26"/>
        <v>1</v>
      </c>
      <c r="CM265" s="6">
        <f t="shared" si="13"/>
        <v>1</v>
      </c>
      <c r="CN265" s="6">
        <f t="shared" si="14"/>
        <v>1</v>
      </c>
      <c r="CO265" s="6">
        <f t="shared" si="15"/>
        <v>1</v>
      </c>
      <c r="CP265" s="6">
        <f t="shared" si="16"/>
        <v>1</v>
      </c>
      <c r="CQ265" s="6">
        <f t="shared" ref="CQ265:CQ266" si="531">IF(CQ$5="Any",1,IF(AND(CQ$5="Med",AV265=0,SUM(AN265:AQ265)=0),1,IF(AND(CQ$5="Low",AV265=0,SUM(AN265:AQ265)=0,AM265=0),1,IF(AND(CQ$5="Flat",AV265=0,SUM(AN265:AQ265)=0,AM265=0,IFERROR(NOT(BE265="Y"),0)),1,0))))</f>
        <v>1</v>
      </c>
      <c r="CR265" s="81" t="str">
        <f t="shared" si="17"/>
        <v/>
      </c>
      <c r="CS265">
        <f t="shared" ref="CS265:CS266" si="532">CS$5*(12/(MIN(12,Q265))-1)</f>
        <v>0</v>
      </c>
      <c r="CT265">
        <f t="shared" si="19"/>
        <v>20</v>
      </c>
      <c r="CU265" t="str">
        <f t="shared" si="29"/>
        <v>rm</v>
      </c>
      <c r="CV265" s="81">
        <f t="shared" ref="CV265:CV266" si="533">CT265*IF(CU265="",1,Q265)</f>
        <v>240</v>
      </c>
      <c r="CW265" s="81">
        <f>(CV265/25)^1.5*(Calculator!$BU$4/10000)*CW$5</f>
        <v>76.803483157572401</v>
      </c>
      <c r="CX265" t="str">
        <f t="shared" ref="CX265:CX266" si="534">"$"&amp;IF(LEFT(CU265,1)="r",CT265&amp;"/"&amp;CU265,CV265)</f>
        <v>$20/rm</v>
      </c>
    </row>
    <row r="266" spans="2:102" x14ac:dyDescent="0.25">
      <c r="B266" s="115" t="s">
        <v>233</v>
      </c>
      <c r="C266" s="13">
        <v>46236.341666666667</v>
      </c>
      <c r="D266">
        <v>35166</v>
      </c>
      <c r="E266" s="54" t="s">
        <v>237</v>
      </c>
      <c r="F266" s="54" t="s">
        <v>675</v>
      </c>
      <c r="G266" s="54" t="s">
        <v>2168</v>
      </c>
      <c r="H266" s="55">
        <v>12.1</v>
      </c>
      <c r="I266" s="55">
        <v>11.700000000000001</v>
      </c>
      <c r="J266" s="55">
        <v>11.5</v>
      </c>
      <c r="K266" s="54"/>
      <c r="L266" s="56" t="b">
        <v>0</v>
      </c>
      <c r="M266" s="56" t="b">
        <v>0</v>
      </c>
      <c r="N266" s="54">
        <v>1</v>
      </c>
      <c r="O266" s="54" t="s">
        <v>228</v>
      </c>
      <c r="P266" s="54">
        <v>23</v>
      </c>
      <c r="Q266" s="54">
        <v>5</v>
      </c>
      <c r="R266" s="54">
        <v>175</v>
      </c>
      <c r="S266" s="54" t="s">
        <v>677</v>
      </c>
      <c r="T266" s="54" t="s">
        <v>678</v>
      </c>
      <c r="U266" s="54" t="s">
        <v>679</v>
      </c>
      <c r="V266" s="54" t="s">
        <v>1706</v>
      </c>
      <c r="W266" s="54" t="b">
        <v>0</v>
      </c>
      <c r="X266" s="54"/>
      <c r="Y266" s="57" t="s">
        <v>2169</v>
      </c>
      <c r="Z266" s="54" t="s">
        <v>677</v>
      </c>
      <c r="AA266" s="54"/>
      <c r="AB266" s="54" t="s">
        <v>680</v>
      </c>
      <c r="AC266" s="56" t="b">
        <v>1</v>
      </c>
      <c r="AD266" s="56" t="b">
        <v>0</v>
      </c>
      <c r="AE266" s="54" t="s">
        <v>303</v>
      </c>
      <c r="AF266" s="58">
        <v>46235</v>
      </c>
      <c r="AG266" s="62" t="s">
        <v>293</v>
      </c>
      <c r="AH266" s="54">
        <v>0</v>
      </c>
      <c r="AI266" s="54"/>
      <c r="AJ266" s="54"/>
      <c r="AK266" s="54"/>
      <c r="AL266" s="54"/>
      <c r="AM266" s="54">
        <v>0</v>
      </c>
      <c r="AN266" s="54"/>
      <c r="AO266" s="54"/>
      <c r="AP266" s="54"/>
      <c r="AQ266" s="54"/>
      <c r="AR266" s="54"/>
      <c r="AS266" s="54"/>
      <c r="AT266" s="54"/>
      <c r="AU266" s="54"/>
      <c r="AV266" s="54"/>
      <c r="AW266" s="54"/>
      <c r="AX266" s="59"/>
      <c r="AY266" s="59"/>
      <c r="AZ266" s="59"/>
      <c r="BA266" s="59"/>
      <c r="BB266" s="59">
        <v>5.0700000000000002E-2</v>
      </c>
      <c r="BC266" s="60"/>
      <c r="BD266" s="61"/>
      <c r="BE266" s="62" t="s">
        <v>293</v>
      </c>
      <c r="BF266" s="35">
        <f t="shared" si="523"/>
        <v>4.0600000000000005</v>
      </c>
      <c r="BG266" s="35">
        <f t="shared" si="523"/>
        <v>6.0295000000000001E-2</v>
      </c>
      <c r="BH266" s="35" t="str">
        <f t="shared" si="524"/>
        <v>Low</v>
      </c>
      <c r="BI266" s="110">
        <f t="shared" si="525"/>
        <v>0</v>
      </c>
      <c r="BJ266" s="83" t="str">
        <f>VLOOKUP($F266,REP_Info!$D$6:$H$250,5,FALSE)</f>
        <v/>
      </c>
      <c r="BK266" s="30">
        <f t="shared" si="526"/>
        <v>11.9115</v>
      </c>
      <c r="BL266" s="30">
        <f t="shared" si="526"/>
        <v>11.5055</v>
      </c>
      <c r="BM266" s="30">
        <f t="shared" si="526"/>
        <v>11.3025</v>
      </c>
      <c r="BN266" s="29">
        <f t="shared" si="526"/>
        <v>11.234833333333331</v>
      </c>
      <c r="BO266" s="85" t="str">
        <f t="shared" ref="BO266" si="535">IFERROR(SUMPRODUCT($BS$7:$CD$7,$BS266:$CD266)/100,"$$$")</f>
        <v>$$$</v>
      </c>
      <c r="BP266" s="88" t="str">
        <f t="shared" si="527"/>
        <v>$$$</v>
      </c>
      <c r="BQ266" s="88" t="str">
        <f t="shared" ref="BQ266" si="536">IFERROR(SUMPRODUCT($BS$7:$CD$7,$BS266:$CD266,--($BS$4:$CD$4&lt;=$Q266))/SUMPRODUCT(--($BS$4:$CD$4&lt;=$Q266),$BS$7:$CD$7),"$$$")</f>
        <v>$$$</v>
      </c>
      <c r="BR266" s="88" t="str">
        <f t="shared" ref="BR266" si="537">IFERROR($BQ266-$BF266*100*SUMPRODUCT(--($BS$4:$CD$4&lt;=$Q266))/SUMPRODUCT(--($BS$4:$CD$4&lt;=$Q266),$BS$7:$CD$7)-$BG266*100,"$$$")</f>
        <v>$$$</v>
      </c>
      <c r="BS266" s="29" t="e">
        <f t="shared" si="528"/>
        <v>#N/A</v>
      </c>
      <c r="BT266" s="29" t="e">
        <f t="shared" si="528"/>
        <v>#N/A</v>
      </c>
      <c r="BU266" s="29" t="e">
        <f t="shared" si="528"/>
        <v>#N/A</v>
      </c>
      <c r="BV266" s="29" t="e">
        <f t="shared" si="528"/>
        <v>#N/A</v>
      </c>
      <c r="BW266" s="29" t="e">
        <f t="shared" si="528"/>
        <v>#N/A</v>
      </c>
      <c r="BX266" s="29" t="e">
        <f t="shared" si="528"/>
        <v>#N/A</v>
      </c>
      <c r="BY266" s="29" t="e">
        <f t="shared" si="528"/>
        <v>#N/A</v>
      </c>
      <c r="BZ266" s="29" t="e">
        <f t="shared" si="528"/>
        <v>#N/A</v>
      </c>
      <c r="CA266" s="29" t="e">
        <f t="shared" si="528"/>
        <v>#N/A</v>
      </c>
      <c r="CB266" s="29" t="e">
        <f t="shared" si="528"/>
        <v>#N/A</v>
      </c>
      <c r="CC266" s="29" t="e">
        <f t="shared" si="528"/>
        <v>#N/A</v>
      </c>
      <c r="CD266" s="29" t="e">
        <f t="shared" si="528"/>
        <v>#N/A</v>
      </c>
      <c r="CE266" s="6" t="str">
        <f t="shared" si="453"/>
        <v/>
      </c>
      <c r="CF266" s="27" t="e">
        <f>IF(AND(CI266,NOT(AD266)),LOOKUP(CF$5,{0,750,1500},H266:J266),"")</f>
        <v>#N/A</v>
      </c>
      <c r="CG266" s="6" t="str">
        <f t="shared" si="454"/>
        <v/>
      </c>
      <c r="CH266" t="e">
        <f t="shared" si="529"/>
        <v>#N/A</v>
      </c>
      <c r="CI266" t="e">
        <f t="shared" si="530"/>
        <v>#N/A</v>
      </c>
      <c r="CJ266" s="6" t="e">
        <f t="shared" ref="CJ266" si="538">IF($E266=CJ$5,1,0)</f>
        <v>#N/A</v>
      </c>
      <c r="CK266" s="6">
        <f t="shared" ref="CK266" si="539">IF(CK$5="[Any]",1,IF($F266=CK$5,1,0))</f>
        <v>1</v>
      </c>
      <c r="CL266" s="6">
        <f t="shared" si="26"/>
        <v>1</v>
      </c>
      <c r="CM266" s="6">
        <f t="shared" ref="CM266" si="540">IF($O266="Fixed",1,0)</f>
        <v>1</v>
      </c>
      <c r="CN266" s="6">
        <f t="shared" ref="CN266" si="541">IF($Q266&gt;=CN$5,1,0)</f>
        <v>0</v>
      </c>
      <c r="CO266" s="6">
        <f t="shared" ref="CO266" si="542">IF($Q266&lt;=CO$5,1,0)</f>
        <v>1</v>
      </c>
      <c r="CP266" s="6">
        <f t="shared" ref="CP266" si="543">IF($P266&gt;=CP$5,1,0)</f>
        <v>1</v>
      </c>
      <c r="CQ266" s="6">
        <f t="shared" si="531"/>
        <v>1</v>
      </c>
      <c r="CR266" s="81" t="str">
        <f t="shared" ref="CR266" si="544">IF(ISNUMBER($CH266),$CH266+$CS266+$CW266,"")</f>
        <v/>
      </c>
      <c r="CS266">
        <f t="shared" si="532"/>
        <v>25.2</v>
      </c>
      <c r="CT266">
        <f t="shared" si="19"/>
        <v>175</v>
      </c>
      <c r="CU266" t="str">
        <f t="shared" si="29"/>
        <v/>
      </c>
      <c r="CV266" s="81">
        <f t="shared" si="533"/>
        <v>175</v>
      </c>
      <c r="CW266" s="81">
        <f>(CV266/25)^1.5*(Calculator!$BU$4/10000)*CW$5</f>
        <v>47.821272343654172</v>
      </c>
      <c r="CX266" t="str">
        <f t="shared" si="534"/>
        <v>$175</v>
      </c>
    </row>
    <row r="267" spans="2:102" x14ac:dyDescent="0.25">
      <c r="B267" s="115" t="s">
        <v>233</v>
      </c>
      <c r="C267" s="13">
        <v>46236.341666666667</v>
      </c>
      <c r="D267">
        <v>35168</v>
      </c>
      <c r="E267" s="54" t="s">
        <v>237</v>
      </c>
      <c r="F267" s="54" t="s">
        <v>675</v>
      </c>
      <c r="G267" s="54" t="s">
        <v>2170</v>
      </c>
      <c r="H267" s="55">
        <v>12.3</v>
      </c>
      <c r="I267" s="55">
        <v>11.899999999999999</v>
      </c>
      <c r="J267" s="55">
        <v>11.700000000000001</v>
      </c>
      <c r="K267" s="54"/>
      <c r="L267" s="56" t="b">
        <v>0</v>
      </c>
      <c r="M267" s="56" t="b">
        <v>0</v>
      </c>
      <c r="N267" s="54">
        <v>1</v>
      </c>
      <c r="O267" s="54" t="s">
        <v>228</v>
      </c>
      <c r="P267" s="54">
        <v>23</v>
      </c>
      <c r="Q267" s="54">
        <v>10</v>
      </c>
      <c r="R267" s="54">
        <v>175</v>
      </c>
      <c r="S267" s="54" t="s">
        <v>677</v>
      </c>
      <c r="T267" s="54" t="s">
        <v>678</v>
      </c>
      <c r="U267" s="54" t="s">
        <v>679</v>
      </c>
      <c r="V267" s="54" t="s">
        <v>1706</v>
      </c>
      <c r="W267" s="54" t="b">
        <v>0</v>
      </c>
      <c r="X267" s="54"/>
      <c r="Y267" s="57" t="s">
        <v>2171</v>
      </c>
      <c r="Z267" s="54" t="s">
        <v>677</v>
      </c>
      <c r="AA267" s="54"/>
      <c r="AB267" s="54" t="s">
        <v>680</v>
      </c>
      <c r="AC267" s="56" t="b">
        <v>1</v>
      </c>
      <c r="AD267" s="56" t="b">
        <v>0</v>
      </c>
      <c r="AE267" s="54" t="s">
        <v>303</v>
      </c>
      <c r="AF267" s="58">
        <v>46235</v>
      </c>
      <c r="AG267" s="62" t="s">
        <v>293</v>
      </c>
      <c r="AH267" s="54">
        <v>0</v>
      </c>
      <c r="AI267" s="54"/>
      <c r="AJ267" s="54"/>
      <c r="AK267" s="54"/>
      <c r="AL267" s="54"/>
      <c r="AM267" s="54">
        <v>0</v>
      </c>
      <c r="AN267" s="54"/>
      <c r="AO267" s="54"/>
      <c r="AP267" s="54"/>
      <c r="AQ267" s="54"/>
      <c r="AR267" s="54"/>
      <c r="AS267" s="54"/>
      <c r="AT267" s="54"/>
      <c r="AU267" s="54"/>
      <c r="AV267" s="54"/>
      <c r="AW267" s="54"/>
      <c r="AX267" s="59"/>
      <c r="AY267" s="59"/>
      <c r="AZ267" s="59"/>
      <c r="BA267" s="59"/>
      <c r="BB267" s="59">
        <v>5.4699999999999999E-2</v>
      </c>
      <c r="BC267" s="60"/>
      <c r="BD267" s="61"/>
      <c r="BE267" s="62" t="s">
        <v>293</v>
      </c>
      <c r="BF267" s="35">
        <f t="shared" ref="BF267:BG268" si="545">IF($E267=$E$4,BF$4,IF($E267=$E$5,BF$5,""))</f>
        <v>4.0600000000000005</v>
      </c>
      <c r="BG267" s="35">
        <f t="shared" si="545"/>
        <v>6.0295000000000001E-2</v>
      </c>
      <c r="BH267" s="35" t="str">
        <f t="shared" ref="BH267:BH268" si="546">IF(ISTEXT(BE267),IF(AND(AV267=0,SUM(AN267:AQ267)=0),IF(AM267&lt;=0,IF(BE267="Y","Low","Flat"),"Med"),"High"),"?")</f>
        <v>Low</v>
      </c>
      <c r="BI267" s="110">
        <f t="shared" ref="BI267:BI268" si="547">IF(ISNUMBER(AH267),0*BI$5*SIN((EDATE($A$3,$Q267)-DATE(YEAR(EDATE($A$3,$Q267)),1,0)-BI$4)*2*PI()/365),"")</f>
        <v>0</v>
      </c>
      <c r="BJ267" s="83" t="str">
        <f>VLOOKUP($F267,REP_Info!$D$6:$H$250,5,FALSE)</f>
        <v/>
      </c>
      <c r="BK267" s="30">
        <f t="shared" ref="BK267:BN268" si="548">IF(BK$7&gt;0,(LOOKUP(BK$7,$AH267:$AL267,$AM267:$AQ267)+IF($AG267="Y",SUMPRODUCT($AX267:$BB267-$AW267:$BA267,BK$7-$AR267:$AV267,N(BK$7&gt;$AR267:$AV267)),BK$7*LOOKUP(BK$7,$AR267:$AV267,$AX267:$BB267))+IF($BE267="Y",$BF267,$BC267)+BK$7*IF($BE267="Y",$BG267,$BD267))*100/BK$7,"")</f>
        <v>12.311500000000001</v>
      </c>
      <c r="BL267" s="30">
        <f t="shared" si="548"/>
        <v>11.9055</v>
      </c>
      <c r="BM267" s="30">
        <f t="shared" si="548"/>
        <v>11.702500000000001</v>
      </c>
      <c r="BN267" s="29">
        <f t="shared" si="548"/>
        <v>11.634833333333331</v>
      </c>
      <c r="BO267" s="85" t="str">
        <f t="shared" si="2"/>
        <v>$$$</v>
      </c>
      <c r="BP267" s="88" t="str">
        <f t="shared" ref="BP267:BP268" si="549">IFERROR(BO267*100/BO$5,"$$$")</f>
        <v>$$$</v>
      </c>
      <c r="BQ267" s="88" t="str">
        <f t="shared" si="4"/>
        <v>$$$</v>
      </c>
      <c r="BR267" s="88" t="str">
        <f t="shared" si="5"/>
        <v>$$$</v>
      </c>
      <c r="BS267" s="29" t="e">
        <f t="shared" ref="BS267:CD268" si="550">IF($CI267,IF(BS$7&gt;0,IF(BS$4&gt;$Q267,$BF267+BS$7*(BS$5+$BG267+$BI267),LOOKUP(BS$7,$AH267:$AL267,$AM267:$AQ267)+IF($AG267="Y",SUMPRODUCT($AX267:$BB267-$AW267:$BA267,BS$7-$AR267:$AV267,N(BS$7&gt;$AR267:$AV267)),BS$7*LOOKUP(BS$7,$AR267:$AV267,$AX267:$BB267))+IF($BE267="Y",$BF267,$BC267)+BS$7*IF($BE267="Y",$BG267,$BD267))*100/BS$7,""),NA())</f>
        <v>#N/A</v>
      </c>
      <c r="BT267" s="29" t="e">
        <f t="shared" si="550"/>
        <v>#N/A</v>
      </c>
      <c r="BU267" s="29" t="e">
        <f t="shared" si="550"/>
        <v>#N/A</v>
      </c>
      <c r="BV267" s="29" t="e">
        <f t="shared" si="550"/>
        <v>#N/A</v>
      </c>
      <c r="BW267" s="29" t="e">
        <f t="shared" si="550"/>
        <v>#N/A</v>
      </c>
      <c r="BX267" s="29" t="e">
        <f t="shared" si="550"/>
        <v>#N/A</v>
      </c>
      <c r="BY267" s="29" t="e">
        <f t="shared" si="550"/>
        <v>#N/A</v>
      </c>
      <c r="BZ267" s="29" t="e">
        <f t="shared" si="550"/>
        <v>#N/A</v>
      </c>
      <c r="CA267" s="29" t="e">
        <f t="shared" si="550"/>
        <v>#N/A</v>
      </c>
      <c r="CB267" s="29" t="e">
        <f t="shared" si="550"/>
        <v>#N/A</v>
      </c>
      <c r="CC267" s="29" t="e">
        <f t="shared" si="550"/>
        <v>#N/A</v>
      </c>
      <c r="CD267" s="29" t="e">
        <f t="shared" si="550"/>
        <v>#N/A</v>
      </c>
      <c r="CE267" s="6" t="str">
        <f t="shared" si="453"/>
        <v/>
      </c>
      <c r="CF267" s="27" t="e">
        <f>IF(AND(CI267,NOT(AD267)),LOOKUP(CF$5,{0,750,1500},H267:J267),"")</f>
        <v>#N/A</v>
      </c>
      <c r="CG267" s="6" t="str">
        <f t="shared" si="454"/>
        <v/>
      </c>
      <c r="CH267" t="e">
        <f t="shared" ref="CH267:CH268" si="551">IF(CI267,IF(ISNUMBER(BO267),BO267,100000)+CV267/10000+IF(ISNUMBER(BJ267),BJ267,2)/10000-P267/100000+ROW()/10000000,"")</f>
        <v>#N/A</v>
      </c>
      <c r="CI267" t="e">
        <f t="shared" ref="CI267:CI268" si="552">PRODUCT(CJ267:CQ267)</f>
        <v>#N/A</v>
      </c>
      <c r="CJ267" s="6" t="e">
        <f t="shared" si="11"/>
        <v>#N/A</v>
      </c>
      <c r="CK267" s="6">
        <f t="shared" si="12"/>
        <v>1</v>
      </c>
      <c r="CL267" s="6">
        <f t="shared" si="26"/>
        <v>1</v>
      </c>
      <c r="CM267" s="6">
        <f t="shared" si="13"/>
        <v>1</v>
      </c>
      <c r="CN267" s="6">
        <f t="shared" si="14"/>
        <v>0</v>
      </c>
      <c r="CO267" s="6">
        <f t="shared" si="15"/>
        <v>1</v>
      </c>
      <c r="CP267" s="6">
        <f t="shared" si="16"/>
        <v>1</v>
      </c>
      <c r="CQ267" s="6">
        <f t="shared" ref="CQ267:CQ268" si="553">IF(CQ$5="Any",1,IF(AND(CQ$5="Med",AV267=0,SUM(AN267:AQ267)=0),1,IF(AND(CQ$5="Low",AV267=0,SUM(AN267:AQ267)=0,AM267=0),1,IF(AND(CQ$5="Flat",AV267=0,SUM(AN267:AQ267)=0,AM267=0,IFERROR(NOT(BE267="Y"),0)),1,0))))</f>
        <v>1</v>
      </c>
      <c r="CR267" s="81" t="str">
        <f t="shared" si="17"/>
        <v/>
      </c>
      <c r="CS267">
        <f t="shared" ref="CS267:CS268" si="554">CS$5*(12/(MIN(12,Q267))-1)</f>
        <v>3.5999999999999992</v>
      </c>
      <c r="CT267">
        <f t="shared" si="19"/>
        <v>175</v>
      </c>
      <c r="CU267" t="str">
        <f t="shared" si="29"/>
        <v/>
      </c>
      <c r="CV267" s="81">
        <f t="shared" ref="CV267:CV268" si="555">CT267*IF(CU267="",1,Q267)</f>
        <v>175</v>
      </c>
      <c r="CW267" s="81">
        <f>(CV267/25)^1.5*(Calculator!$BU$4/10000)*CW$5</f>
        <v>47.821272343654172</v>
      </c>
      <c r="CX267" t="str">
        <f t="shared" ref="CX267:CX268" si="556">"$"&amp;IF(LEFT(CU267,1)="r",CT267&amp;"/"&amp;CU267,CV267)</f>
        <v>$175</v>
      </c>
    </row>
    <row r="268" spans="2:102" x14ac:dyDescent="0.25">
      <c r="B268" s="115" t="s">
        <v>233</v>
      </c>
      <c r="C268" s="13">
        <v>46236.341666666667</v>
      </c>
      <c r="D268">
        <v>35185</v>
      </c>
      <c r="E268" s="54" t="s">
        <v>235</v>
      </c>
      <c r="F268" s="54" t="s">
        <v>675</v>
      </c>
      <c r="G268" s="54" t="s">
        <v>2168</v>
      </c>
      <c r="H268" s="55">
        <v>11.200000000000001</v>
      </c>
      <c r="I268" s="55">
        <v>10.7</v>
      </c>
      <c r="J268" s="55">
        <v>10.5</v>
      </c>
      <c r="K268" s="54"/>
      <c r="L268" s="56" t="b">
        <v>0</v>
      </c>
      <c r="M268" s="56" t="b">
        <v>0</v>
      </c>
      <c r="N268" s="54">
        <v>1</v>
      </c>
      <c r="O268" s="54" t="s">
        <v>228</v>
      </c>
      <c r="P268" s="54">
        <v>23</v>
      </c>
      <c r="Q268" s="54">
        <v>5</v>
      </c>
      <c r="R268" s="54">
        <v>175</v>
      </c>
      <c r="S268" s="54" t="s">
        <v>677</v>
      </c>
      <c r="T268" s="54" t="s">
        <v>678</v>
      </c>
      <c r="U268" s="54" t="s">
        <v>679</v>
      </c>
      <c r="V268" s="54" t="s">
        <v>1706</v>
      </c>
      <c r="W268" s="54" t="b">
        <v>0</v>
      </c>
      <c r="X268" s="54"/>
      <c r="Y268" s="57" t="s">
        <v>2172</v>
      </c>
      <c r="Z268" s="54" t="s">
        <v>677</v>
      </c>
      <c r="AA268" s="54"/>
      <c r="AB268" s="54" t="s">
        <v>680</v>
      </c>
      <c r="AC268" s="56" t="b">
        <v>1</v>
      </c>
      <c r="AD268" s="56" t="b">
        <v>0</v>
      </c>
      <c r="AE268" s="54" t="s">
        <v>303</v>
      </c>
      <c r="AF268" s="58">
        <v>46235</v>
      </c>
      <c r="AG268" s="62" t="s">
        <v>293</v>
      </c>
      <c r="AH268" s="54">
        <v>0</v>
      </c>
      <c r="AI268" s="54"/>
      <c r="AJ268" s="54"/>
      <c r="AK268" s="54"/>
      <c r="AL268" s="54"/>
      <c r="AM268" s="54">
        <v>0</v>
      </c>
      <c r="AN268" s="54"/>
      <c r="AO268" s="54"/>
      <c r="AP268" s="54"/>
      <c r="AQ268" s="54"/>
      <c r="AR268" s="54"/>
      <c r="AS268" s="54"/>
      <c r="AT268" s="54"/>
      <c r="AU268" s="54"/>
      <c r="AV268" s="54"/>
      <c r="AW268" s="54"/>
      <c r="AX268" s="59"/>
      <c r="AY268" s="59"/>
      <c r="AZ268" s="59"/>
      <c r="BA268" s="59"/>
      <c r="BB268" s="59">
        <v>5.2699999999999997E-2</v>
      </c>
      <c r="BC268" s="60"/>
      <c r="BD268" s="61"/>
      <c r="BE268" s="62" t="s">
        <v>293</v>
      </c>
      <c r="BF268" s="35">
        <f t="shared" si="545"/>
        <v>4.9000000000000004</v>
      </c>
      <c r="BG268" s="35">
        <f t="shared" si="545"/>
        <v>5.1461E-2</v>
      </c>
      <c r="BH268" s="35" t="str">
        <f t="shared" si="546"/>
        <v>Low</v>
      </c>
      <c r="BI268" s="110">
        <f t="shared" si="547"/>
        <v>0</v>
      </c>
      <c r="BJ268" s="83" t="str">
        <f>VLOOKUP($F268,REP_Info!$D$6:$H$250,5,FALSE)</f>
        <v/>
      </c>
      <c r="BK268" s="30">
        <f t="shared" si="548"/>
        <v>11.396100000000001</v>
      </c>
      <c r="BL268" s="30">
        <f t="shared" si="548"/>
        <v>10.906099999999999</v>
      </c>
      <c r="BM268" s="30">
        <f t="shared" si="548"/>
        <v>10.661099999999999</v>
      </c>
      <c r="BN268" s="29">
        <f t="shared" si="548"/>
        <v>10.579433333333334</v>
      </c>
      <c r="BO268" s="85" t="str">
        <f t="shared" si="2"/>
        <v>$$$</v>
      </c>
      <c r="BP268" s="88" t="str">
        <f t="shared" si="549"/>
        <v>$$$</v>
      </c>
      <c r="BQ268" s="88" t="str">
        <f t="shared" si="4"/>
        <v>$$$</v>
      </c>
      <c r="BR268" s="88" t="str">
        <f t="shared" si="5"/>
        <v>$$$</v>
      </c>
      <c r="BS268" s="29" t="e">
        <f t="shared" si="550"/>
        <v>#N/A</v>
      </c>
      <c r="BT268" s="29" t="e">
        <f t="shared" si="550"/>
        <v>#N/A</v>
      </c>
      <c r="BU268" s="29" t="e">
        <f t="shared" si="550"/>
        <v>#N/A</v>
      </c>
      <c r="BV268" s="29" t="e">
        <f t="shared" si="550"/>
        <v>#N/A</v>
      </c>
      <c r="BW268" s="29" t="e">
        <f t="shared" si="550"/>
        <v>#N/A</v>
      </c>
      <c r="BX268" s="29" t="e">
        <f t="shared" si="550"/>
        <v>#N/A</v>
      </c>
      <c r="BY268" s="29" t="e">
        <f t="shared" si="550"/>
        <v>#N/A</v>
      </c>
      <c r="BZ268" s="29" t="e">
        <f t="shared" si="550"/>
        <v>#N/A</v>
      </c>
      <c r="CA268" s="29" t="e">
        <f t="shared" si="550"/>
        <v>#N/A</v>
      </c>
      <c r="CB268" s="29" t="e">
        <f t="shared" si="550"/>
        <v>#N/A</v>
      </c>
      <c r="CC268" s="29" t="e">
        <f t="shared" si="550"/>
        <v>#N/A</v>
      </c>
      <c r="CD268" s="29" t="e">
        <f t="shared" si="550"/>
        <v>#N/A</v>
      </c>
      <c r="CE268" s="6" t="str">
        <f t="shared" si="453"/>
        <v/>
      </c>
      <c r="CF268" s="27" t="e">
        <f>IF(AND(CI268,NOT(AD268)),LOOKUP(CF$5,{0,750,1500},H268:J268),"")</f>
        <v>#N/A</v>
      </c>
      <c r="CG268" s="6" t="str">
        <f t="shared" si="454"/>
        <v/>
      </c>
      <c r="CH268" t="e">
        <f t="shared" si="551"/>
        <v>#N/A</v>
      </c>
      <c r="CI268" t="e">
        <f t="shared" si="552"/>
        <v>#N/A</v>
      </c>
      <c r="CJ268" s="6" t="e">
        <f t="shared" si="11"/>
        <v>#N/A</v>
      </c>
      <c r="CK268" s="6">
        <f t="shared" si="12"/>
        <v>1</v>
      </c>
      <c r="CL268" s="6">
        <f t="shared" si="26"/>
        <v>1</v>
      </c>
      <c r="CM268" s="6">
        <f t="shared" si="13"/>
        <v>1</v>
      </c>
      <c r="CN268" s="6">
        <f t="shared" si="14"/>
        <v>0</v>
      </c>
      <c r="CO268" s="6">
        <f t="shared" si="15"/>
        <v>1</v>
      </c>
      <c r="CP268" s="6">
        <f t="shared" si="16"/>
        <v>1</v>
      </c>
      <c r="CQ268" s="6">
        <f t="shared" si="553"/>
        <v>1</v>
      </c>
      <c r="CR268" s="81" t="str">
        <f t="shared" si="17"/>
        <v/>
      </c>
      <c r="CS268">
        <f t="shared" si="554"/>
        <v>25.2</v>
      </c>
      <c r="CT268">
        <f t="shared" si="19"/>
        <v>175</v>
      </c>
      <c r="CU268" t="str">
        <f t="shared" si="29"/>
        <v/>
      </c>
      <c r="CV268" s="81">
        <f t="shared" si="555"/>
        <v>175</v>
      </c>
      <c r="CW268" s="81">
        <f>(CV268/25)^1.5*(Calculator!$BU$4/10000)*CW$5</f>
        <v>47.821272343654172</v>
      </c>
      <c r="CX268" t="str">
        <f t="shared" si="556"/>
        <v>$175</v>
      </c>
    </row>
    <row r="269" spans="2:102" x14ac:dyDescent="0.25">
      <c r="B269" s="115" t="s">
        <v>233</v>
      </c>
      <c r="C269" s="13">
        <v>46236.341666666667</v>
      </c>
      <c r="D269">
        <v>35186</v>
      </c>
      <c r="E269" s="54" t="s">
        <v>235</v>
      </c>
      <c r="F269" s="54" t="s">
        <v>675</v>
      </c>
      <c r="G269" s="54" t="s">
        <v>2170</v>
      </c>
      <c r="H269" s="55">
        <v>11.600000000000001</v>
      </c>
      <c r="I269" s="55">
        <v>11.1</v>
      </c>
      <c r="J269" s="55">
        <v>10.9</v>
      </c>
      <c r="K269" s="54"/>
      <c r="L269" s="56" t="b">
        <v>0</v>
      </c>
      <c r="M269" s="56" t="b">
        <v>0</v>
      </c>
      <c r="N269" s="54">
        <v>1</v>
      </c>
      <c r="O269" s="54" t="s">
        <v>228</v>
      </c>
      <c r="P269" s="54">
        <v>23</v>
      </c>
      <c r="Q269" s="54">
        <v>10</v>
      </c>
      <c r="R269" s="54">
        <v>175</v>
      </c>
      <c r="S269" s="54" t="s">
        <v>677</v>
      </c>
      <c r="T269" s="54" t="s">
        <v>678</v>
      </c>
      <c r="U269" s="54" t="s">
        <v>679</v>
      </c>
      <c r="V269" s="54" t="s">
        <v>1706</v>
      </c>
      <c r="W269" s="54" t="b">
        <v>0</v>
      </c>
      <c r="X269" s="54"/>
      <c r="Y269" s="57" t="s">
        <v>2173</v>
      </c>
      <c r="Z269" s="54" t="s">
        <v>677</v>
      </c>
      <c r="AA269" s="54"/>
      <c r="AB269" s="54" t="s">
        <v>680</v>
      </c>
      <c r="AC269" s="56" t="b">
        <v>1</v>
      </c>
      <c r="AD269" s="56" t="b">
        <v>0</v>
      </c>
      <c r="AE269" s="54" t="s">
        <v>303</v>
      </c>
      <c r="AF269" s="58">
        <v>46235</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5.4699999999999999E-2</v>
      </c>
      <c r="BC269" s="60"/>
      <c r="BD269" s="61"/>
      <c r="BE269" s="62" t="s">
        <v>293</v>
      </c>
      <c r="BF269" s="35">
        <f t="shared" ref="BF269:BG276" si="557">IF($E269=$E$4,BF$4,IF($E269=$E$5,BF$5,""))</f>
        <v>4.9000000000000004</v>
      </c>
      <c r="BG269" s="35">
        <f t="shared" si="557"/>
        <v>5.1461E-2</v>
      </c>
      <c r="BH269" s="35" t="str">
        <f t="shared" ref="BH269:BH276" si="558">IF(ISTEXT(BE269),IF(AND(AV269=0,SUM(AN269:AQ269)=0),IF(AM269&lt;=0,IF(BE269="Y","Low","Flat"),"Med"),"High"),"?")</f>
        <v>Low</v>
      </c>
      <c r="BI269" s="110">
        <f t="shared" ref="BI269:BI276" si="559">IF(ISNUMBER(AH269),0*BI$5*SIN((EDATE($A$3,$Q269)-DATE(YEAR(EDATE($A$3,$Q269)),1,0)-BI$4)*2*PI()/365),"")</f>
        <v>0</v>
      </c>
      <c r="BJ269" s="83" t="str">
        <f>VLOOKUP($F269,REP_Info!$D$6:$H$250,5,FALSE)</f>
        <v/>
      </c>
      <c r="BK269" s="30">
        <f t="shared" ref="BK269:BN276" si="560">IF(BK$7&gt;0,(LOOKUP(BK$7,$AH269:$AL269,$AM269:$AQ269)+IF($AG269="Y",SUMPRODUCT($AX269:$BB269-$AW269:$BA269,BK$7-$AR269:$AV269,N(BK$7&gt;$AR269:$AV269)),BK$7*LOOKUP(BK$7,$AR269:$AV269,$AX269:$BB269))+IF($BE269="Y",$BF269,$BC269)+BK$7*IF($BE269="Y",$BG269,$BD269))*100/BK$7,"")</f>
        <v>11.5961</v>
      </c>
      <c r="BL269" s="30">
        <f t="shared" si="560"/>
        <v>11.106099999999998</v>
      </c>
      <c r="BM269" s="30">
        <f t="shared" si="560"/>
        <v>10.861099999999999</v>
      </c>
      <c r="BN269" s="29">
        <f t="shared" si="560"/>
        <v>10.779433333333333</v>
      </c>
      <c r="BO269" s="85" t="str">
        <f t="shared" si="2"/>
        <v>$$$</v>
      </c>
      <c r="BP269" s="88" t="str">
        <f t="shared" ref="BP269:BP276" si="561">IFERROR(BO269*100/BO$5,"$$$")</f>
        <v>$$$</v>
      </c>
      <c r="BQ269" s="88" t="str">
        <f t="shared" si="4"/>
        <v>$$$</v>
      </c>
      <c r="BR269" s="88" t="str">
        <f t="shared" si="5"/>
        <v>$$$</v>
      </c>
      <c r="BS269" s="29" t="e">
        <f t="shared" ref="BS269:CD276" si="562">IF($CI269,IF(BS$7&gt;0,IF(BS$4&gt;$Q269,$BF269+BS$7*(BS$5+$BG269+$BI269),LOOKUP(BS$7,$AH269:$AL269,$AM269:$AQ269)+IF($AG269="Y",SUMPRODUCT($AX269:$BB269-$AW269:$BA269,BS$7-$AR269:$AV269,N(BS$7&gt;$AR269:$AV269)),BS$7*LOOKUP(BS$7,$AR269:$AV269,$AX269:$BB269))+IF($BE269="Y",$BF269,$BC269)+BS$7*IF($BE269="Y",$BG269,$BD269))*100/BS$7,""),NA())</f>
        <v>#N/A</v>
      </c>
      <c r="BT269" s="29" t="e">
        <f t="shared" si="562"/>
        <v>#N/A</v>
      </c>
      <c r="BU269" s="29" t="e">
        <f t="shared" si="562"/>
        <v>#N/A</v>
      </c>
      <c r="BV269" s="29" t="e">
        <f t="shared" si="562"/>
        <v>#N/A</v>
      </c>
      <c r="BW269" s="29" t="e">
        <f t="shared" si="562"/>
        <v>#N/A</v>
      </c>
      <c r="BX269" s="29" t="e">
        <f t="shared" si="562"/>
        <v>#N/A</v>
      </c>
      <c r="BY269" s="29" t="e">
        <f t="shared" si="562"/>
        <v>#N/A</v>
      </c>
      <c r="BZ269" s="29" t="e">
        <f t="shared" si="562"/>
        <v>#N/A</v>
      </c>
      <c r="CA269" s="29" t="e">
        <f t="shared" si="562"/>
        <v>#N/A</v>
      </c>
      <c r="CB269" s="29" t="e">
        <f t="shared" si="562"/>
        <v>#N/A</v>
      </c>
      <c r="CC269" s="29" t="e">
        <f t="shared" si="562"/>
        <v>#N/A</v>
      </c>
      <c r="CD269" s="29" t="e">
        <f t="shared" si="562"/>
        <v>#N/A</v>
      </c>
      <c r="CE269" s="6" t="str">
        <f t="shared" si="453"/>
        <v/>
      </c>
      <c r="CF269" s="27" t="e">
        <f>IF(AND(CI269,NOT(AD269)),LOOKUP(CF$5,{0,750,1500},H269:J269),"")</f>
        <v>#N/A</v>
      </c>
      <c r="CG269" s="6" t="str">
        <f t="shared" si="454"/>
        <v/>
      </c>
      <c r="CH269" t="e">
        <f t="shared" ref="CH269:CH276" si="563">IF(CI269,IF(ISNUMBER(BO269),BO269,100000)+CV269/10000+IF(ISNUMBER(BJ269),BJ269,2)/10000-P269/100000+ROW()/10000000,"")</f>
        <v>#N/A</v>
      </c>
      <c r="CI269" t="e">
        <f t="shared" ref="CI269:CI276" si="564">PRODUCT(CJ269:CQ269)</f>
        <v>#N/A</v>
      </c>
      <c r="CJ269" s="6" t="e">
        <f t="shared" si="11"/>
        <v>#N/A</v>
      </c>
      <c r="CK269" s="6">
        <f t="shared" si="12"/>
        <v>1</v>
      </c>
      <c r="CL269" s="6">
        <f t="shared" si="26"/>
        <v>1</v>
      </c>
      <c r="CM269" s="6">
        <f t="shared" si="13"/>
        <v>1</v>
      </c>
      <c r="CN269" s="6">
        <f t="shared" si="14"/>
        <v>0</v>
      </c>
      <c r="CO269" s="6">
        <f t="shared" si="15"/>
        <v>1</v>
      </c>
      <c r="CP269" s="6">
        <f t="shared" si="16"/>
        <v>1</v>
      </c>
      <c r="CQ269" s="6">
        <f t="shared" ref="CQ269:CQ276" si="565">IF(CQ$5="Any",1,IF(AND(CQ$5="Med",AV269=0,SUM(AN269:AQ269)=0),1,IF(AND(CQ$5="Low",AV269=0,SUM(AN269:AQ269)=0,AM269=0),1,IF(AND(CQ$5="Flat",AV269=0,SUM(AN269:AQ269)=0,AM269=0,IFERROR(NOT(BE269="Y"),0)),1,0))))</f>
        <v>1</v>
      </c>
      <c r="CR269" s="81" t="str">
        <f t="shared" si="17"/>
        <v/>
      </c>
      <c r="CS269">
        <f t="shared" ref="CS269:CS276" si="566">CS$5*(12/(MIN(12,Q269))-1)</f>
        <v>3.5999999999999992</v>
      </c>
      <c r="CT269">
        <f t="shared" si="19"/>
        <v>175</v>
      </c>
      <c r="CU269" t="str">
        <f t="shared" si="29"/>
        <v/>
      </c>
      <c r="CV269" s="81">
        <f t="shared" ref="CV269:CV276" si="567">CT269*IF(CU269="",1,Q269)</f>
        <v>175</v>
      </c>
      <c r="CW269" s="81">
        <f>(CV269/25)^1.5*(Calculator!$BU$4/10000)*CW$5</f>
        <v>47.821272343654172</v>
      </c>
      <c r="CX269" t="str">
        <f t="shared" ref="CX269:CX276" si="568">"$"&amp;IF(LEFT(CU269,1)="r",CT269&amp;"/"&amp;CU269,CV269)</f>
        <v>$175</v>
      </c>
    </row>
    <row r="270" spans="2:102" x14ac:dyDescent="0.25">
      <c r="B270" s="115" t="s">
        <v>233</v>
      </c>
      <c r="C270" s="13">
        <v>46236.341666666667</v>
      </c>
      <c r="D270">
        <v>36284</v>
      </c>
      <c r="E270" s="54" t="s">
        <v>235</v>
      </c>
      <c r="F270" s="54" t="s">
        <v>675</v>
      </c>
      <c r="G270" s="54" t="s">
        <v>676</v>
      </c>
      <c r="H270" s="55">
        <v>11.899999999999999</v>
      </c>
      <c r="I270" s="55">
        <v>11.4</v>
      </c>
      <c r="J270" s="55">
        <v>11.200000000000001</v>
      </c>
      <c r="K270" s="54"/>
      <c r="L270" s="56" t="b">
        <v>0</v>
      </c>
      <c r="M270" s="56" t="b">
        <v>0</v>
      </c>
      <c r="N270" s="54">
        <v>1</v>
      </c>
      <c r="O270" s="54" t="s">
        <v>228</v>
      </c>
      <c r="P270" s="54">
        <v>23</v>
      </c>
      <c r="Q270" s="54">
        <v>12</v>
      </c>
      <c r="R270" s="54">
        <v>175</v>
      </c>
      <c r="S270" s="54" t="s">
        <v>677</v>
      </c>
      <c r="T270" s="54" t="s">
        <v>678</v>
      </c>
      <c r="U270" s="54" t="s">
        <v>679</v>
      </c>
      <c r="V270" s="54" t="s">
        <v>1706</v>
      </c>
      <c r="W270" s="54" t="b">
        <v>0</v>
      </c>
      <c r="X270" s="54"/>
      <c r="Y270" s="57" t="s">
        <v>2174</v>
      </c>
      <c r="Z270" s="54" t="s">
        <v>677</v>
      </c>
      <c r="AA270" s="54"/>
      <c r="AB270" s="54" t="s">
        <v>680</v>
      </c>
      <c r="AC270" s="56" t="b">
        <v>1</v>
      </c>
      <c r="AD270" s="56" t="b">
        <v>0</v>
      </c>
      <c r="AE270" s="54" t="s">
        <v>303</v>
      </c>
      <c r="AF270" s="58">
        <v>46235</v>
      </c>
      <c r="AG270" s="62" t="s">
        <v>293</v>
      </c>
      <c r="AH270" s="54">
        <v>0</v>
      </c>
      <c r="AI270" s="54"/>
      <c r="AJ270" s="54"/>
      <c r="AK270" s="54"/>
      <c r="AL270" s="54"/>
      <c r="AM270" s="54">
        <v>0</v>
      </c>
      <c r="AN270" s="54"/>
      <c r="AO270" s="54"/>
      <c r="AP270" s="54"/>
      <c r="AQ270" s="54"/>
      <c r="AR270" s="54"/>
      <c r="AS270" s="54"/>
      <c r="AT270" s="54"/>
      <c r="AU270" s="54"/>
      <c r="AV270" s="54"/>
      <c r="AW270" s="54"/>
      <c r="AX270" s="59"/>
      <c r="AY270" s="59"/>
      <c r="AZ270" s="59"/>
      <c r="BA270" s="59"/>
      <c r="BB270" s="59">
        <v>5.8700000000000002E-2</v>
      </c>
      <c r="BC270" s="60"/>
      <c r="BD270" s="61"/>
      <c r="BE270" s="62" t="s">
        <v>293</v>
      </c>
      <c r="BF270" s="35">
        <f t="shared" si="557"/>
        <v>4.9000000000000004</v>
      </c>
      <c r="BG270" s="35">
        <f t="shared" si="557"/>
        <v>5.1461E-2</v>
      </c>
      <c r="BH270" s="35" t="str">
        <f t="shared" si="558"/>
        <v>Low</v>
      </c>
      <c r="BI270" s="110">
        <f t="shared" si="559"/>
        <v>0</v>
      </c>
      <c r="BJ270" s="83" t="str">
        <f>VLOOKUP($F270,REP_Info!$D$6:$H$250,5,FALSE)</f>
        <v/>
      </c>
      <c r="BK270" s="30">
        <f t="shared" si="560"/>
        <v>11.9961</v>
      </c>
      <c r="BL270" s="30">
        <f t="shared" si="560"/>
        <v>11.5061</v>
      </c>
      <c r="BM270" s="30">
        <f t="shared" si="560"/>
        <v>11.261100000000001</v>
      </c>
      <c r="BN270" s="29">
        <f t="shared" si="560"/>
        <v>11.179433333333334</v>
      </c>
      <c r="BO270" s="85" t="str">
        <f t="shared" si="2"/>
        <v>$$$</v>
      </c>
      <c r="BP270" s="88" t="str">
        <f t="shared" si="561"/>
        <v>$$$</v>
      </c>
      <c r="BQ270" s="88" t="str">
        <f t="shared" si="4"/>
        <v>$$$</v>
      </c>
      <c r="BR270" s="88" t="str">
        <f t="shared" si="5"/>
        <v>$$$</v>
      </c>
      <c r="BS270" s="29" t="e">
        <f t="shared" si="562"/>
        <v>#N/A</v>
      </c>
      <c r="BT270" s="29" t="e">
        <f t="shared" si="562"/>
        <v>#N/A</v>
      </c>
      <c r="BU270" s="29" t="e">
        <f t="shared" si="562"/>
        <v>#N/A</v>
      </c>
      <c r="BV270" s="29" t="e">
        <f t="shared" si="562"/>
        <v>#N/A</v>
      </c>
      <c r="BW270" s="29" t="e">
        <f t="shared" si="562"/>
        <v>#N/A</v>
      </c>
      <c r="BX270" s="29" t="e">
        <f t="shared" si="562"/>
        <v>#N/A</v>
      </c>
      <c r="BY270" s="29" t="e">
        <f t="shared" si="562"/>
        <v>#N/A</v>
      </c>
      <c r="BZ270" s="29" t="e">
        <f t="shared" si="562"/>
        <v>#N/A</v>
      </c>
      <c r="CA270" s="29" t="e">
        <f t="shared" si="562"/>
        <v>#N/A</v>
      </c>
      <c r="CB270" s="29" t="e">
        <f t="shared" si="562"/>
        <v>#N/A</v>
      </c>
      <c r="CC270" s="29" t="e">
        <f t="shared" si="562"/>
        <v>#N/A</v>
      </c>
      <c r="CD270" s="29" t="e">
        <f t="shared" si="562"/>
        <v>#N/A</v>
      </c>
      <c r="CE270" s="6" t="str">
        <f t="shared" si="453"/>
        <v/>
      </c>
      <c r="CF270" s="27" t="e">
        <f>IF(AND(CI270,NOT(AD270)),LOOKUP(CF$5,{0,750,1500},H270:J270),"")</f>
        <v>#N/A</v>
      </c>
      <c r="CG270" s="6" t="str">
        <f t="shared" si="454"/>
        <v/>
      </c>
      <c r="CH270" t="e">
        <f t="shared" si="563"/>
        <v>#N/A</v>
      </c>
      <c r="CI270" t="e">
        <f t="shared" si="564"/>
        <v>#N/A</v>
      </c>
      <c r="CJ270" s="6" t="e">
        <f t="shared" si="11"/>
        <v>#N/A</v>
      </c>
      <c r="CK270" s="6">
        <f t="shared" si="12"/>
        <v>1</v>
      </c>
      <c r="CL270" s="6">
        <f t="shared" si="26"/>
        <v>1</v>
      </c>
      <c r="CM270" s="6">
        <f t="shared" si="13"/>
        <v>1</v>
      </c>
      <c r="CN270" s="6">
        <f t="shared" si="14"/>
        <v>1</v>
      </c>
      <c r="CO270" s="6">
        <f t="shared" si="15"/>
        <v>1</v>
      </c>
      <c r="CP270" s="6">
        <f t="shared" si="16"/>
        <v>1</v>
      </c>
      <c r="CQ270" s="6">
        <f t="shared" si="565"/>
        <v>1</v>
      </c>
      <c r="CR270" s="81" t="str">
        <f t="shared" si="17"/>
        <v/>
      </c>
      <c r="CS270">
        <f t="shared" si="566"/>
        <v>0</v>
      </c>
      <c r="CT270">
        <f t="shared" si="19"/>
        <v>175</v>
      </c>
      <c r="CU270" t="str">
        <f t="shared" si="29"/>
        <v/>
      </c>
      <c r="CV270" s="81">
        <f t="shared" si="567"/>
        <v>175</v>
      </c>
      <c r="CW270" s="81">
        <f>(CV270/25)^1.5*(Calculator!$BU$4/10000)*CW$5</f>
        <v>47.821272343654172</v>
      </c>
      <c r="CX270" t="str">
        <f t="shared" si="568"/>
        <v>$175</v>
      </c>
    </row>
    <row r="271" spans="2:102" x14ac:dyDescent="0.25">
      <c r="B271" s="115" t="s">
        <v>233</v>
      </c>
      <c r="C271" s="13">
        <v>46236.341666666667</v>
      </c>
      <c r="D271">
        <v>36285</v>
      </c>
      <c r="E271" s="54" t="s">
        <v>237</v>
      </c>
      <c r="F271" s="54" t="s">
        <v>675</v>
      </c>
      <c r="G271" s="54" t="s">
        <v>676</v>
      </c>
      <c r="H271" s="55">
        <v>12.7</v>
      </c>
      <c r="I271" s="55">
        <v>12.3</v>
      </c>
      <c r="J271" s="55">
        <v>12.1</v>
      </c>
      <c r="K271" s="54"/>
      <c r="L271" s="56" t="b">
        <v>0</v>
      </c>
      <c r="M271" s="56" t="b">
        <v>0</v>
      </c>
      <c r="N271" s="54">
        <v>1</v>
      </c>
      <c r="O271" s="54" t="s">
        <v>228</v>
      </c>
      <c r="P271" s="54">
        <v>23</v>
      </c>
      <c r="Q271" s="54">
        <v>12</v>
      </c>
      <c r="R271" s="54">
        <v>175</v>
      </c>
      <c r="S271" s="54" t="s">
        <v>677</v>
      </c>
      <c r="T271" s="54" t="s">
        <v>678</v>
      </c>
      <c r="U271" s="54" t="s">
        <v>679</v>
      </c>
      <c r="V271" s="54" t="s">
        <v>1706</v>
      </c>
      <c r="W271" s="54" t="b">
        <v>0</v>
      </c>
      <c r="X271" s="54"/>
      <c r="Y271" s="57" t="s">
        <v>2175</v>
      </c>
      <c r="Z271" s="54" t="s">
        <v>677</v>
      </c>
      <c r="AA271" s="54"/>
      <c r="AB271" s="54" t="s">
        <v>680</v>
      </c>
      <c r="AC271" s="56" t="b">
        <v>1</v>
      </c>
      <c r="AD271" s="56" t="b">
        <v>0</v>
      </c>
      <c r="AE271" s="54" t="s">
        <v>303</v>
      </c>
      <c r="AF271" s="58">
        <v>46235</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5.7700000000000001E-2</v>
      </c>
      <c r="BC271" s="60"/>
      <c r="BD271" s="61"/>
      <c r="BE271" s="62" t="s">
        <v>293</v>
      </c>
      <c r="BF271" s="35">
        <f t="shared" si="557"/>
        <v>4.0600000000000005</v>
      </c>
      <c r="BG271" s="35">
        <f t="shared" si="557"/>
        <v>6.0295000000000001E-2</v>
      </c>
      <c r="BH271" s="35" t="str">
        <f t="shared" si="558"/>
        <v>Low</v>
      </c>
      <c r="BI271" s="110">
        <f t="shared" si="559"/>
        <v>0</v>
      </c>
      <c r="BJ271" s="83" t="str">
        <f>VLOOKUP($F271,REP_Info!$D$6:$H$250,5,FALSE)</f>
        <v/>
      </c>
      <c r="BK271" s="30">
        <f t="shared" si="560"/>
        <v>12.611499999999999</v>
      </c>
      <c r="BL271" s="30">
        <f t="shared" si="560"/>
        <v>12.205500000000001</v>
      </c>
      <c r="BM271" s="30">
        <f t="shared" si="560"/>
        <v>12.0025</v>
      </c>
      <c r="BN271" s="29">
        <f t="shared" si="560"/>
        <v>11.93483333333333</v>
      </c>
      <c r="BO271" s="85" t="str">
        <f t="shared" si="2"/>
        <v>$$$</v>
      </c>
      <c r="BP271" s="88" t="str">
        <f t="shared" si="561"/>
        <v>$$$</v>
      </c>
      <c r="BQ271" s="88" t="str">
        <f t="shared" si="4"/>
        <v>$$$</v>
      </c>
      <c r="BR271" s="88" t="str">
        <f t="shared" si="5"/>
        <v>$$$</v>
      </c>
      <c r="BS271" s="29" t="e">
        <f t="shared" si="562"/>
        <v>#N/A</v>
      </c>
      <c r="BT271" s="29" t="e">
        <f t="shared" si="562"/>
        <v>#N/A</v>
      </c>
      <c r="BU271" s="29" t="e">
        <f t="shared" si="562"/>
        <v>#N/A</v>
      </c>
      <c r="BV271" s="29" t="e">
        <f t="shared" si="562"/>
        <v>#N/A</v>
      </c>
      <c r="BW271" s="29" t="e">
        <f t="shared" si="562"/>
        <v>#N/A</v>
      </c>
      <c r="BX271" s="29" t="e">
        <f t="shared" si="562"/>
        <v>#N/A</v>
      </c>
      <c r="BY271" s="29" t="e">
        <f t="shared" si="562"/>
        <v>#N/A</v>
      </c>
      <c r="BZ271" s="29" t="e">
        <f t="shared" si="562"/>
        <v>#N/A</v>
      </c>
      <c r="CA271" s="29" t="e">
        <f t="shared" si="562"/>
        <v>#N/A</v>
      </c>
      <c r="CB271" s="29" t="e">
        <f t="shared" si="562"/>
        <v>#N/A</v>
      </c>
      <c r="CC271" s="29" t="e">
        <f t="shared" si="562"/>
        <v>#N/A</v>
      </c>
      <c r="CD271" s="29" t="e">
        <f t="shared" si="562"/>
        <v>#N/A</v>
      </c>
      <c r="CE271" s="6" t="str">
        <f t="shared" si="453"/>
        <v/>
      </c>
      <c r="CF271" s="27" t="e">
        <f>IF(AND(CI271,NOT(AD271)),LOOKUP(CF$5,{0,750,1500},H271:J271),"")</f>
        <v>#N/A</v>
      </c>
      <c r="CG271" s="6" t="str">
        <f t="shared" si="454"/>
        <v/>
      </c>
      <c r="CH271" t="e">
        <f t="shared" si="563"/>
        <v>#N/A</v>
      </c>
      <c r="CI271" t="e">
        <f t="shared" si="564"/>
        <v>#N/A</v>
      </c>
      <c r="CJ271" s="6" t="e">
        <f t="shared" si="11"/>
        <v>#N/A</v>
      </c>
      <c r="CK271" s="6">
        <f t="shared" si="12"/>
        <v>1</v>
      </c>
      <c r="CL271" s="6">
        <f t="shared" si="26"/>
        <v>1</v>
      </c>
      <c r="CM271" s="6">
        <f t="shared" si="13"/>
        <v>1</v>
      </c>
      <c r="CN271" s="6">
        <f t="shared" si="14"/>
        <v>1</v>
      </c>
      <c r="CO271" s="6">
        <f t="shared" si="15"/>
        <v>1</v>
      </c>
      <c r="CP271" s="6">
        <f t="shared" si="16"/>
        <v>1</v>
      </c>
      <c r="CQ271" s="6">
        <f t="shared" si="565"/>
        <v>1</v>
      </c>
      <c r="CR271" s="81" t="str">
        <f t="shared" si="17"/>
        <v/>
      </c>
      <c r="CS271">
        <f t="shared" si="566"/>
        <v>0</v>
      </c>
      <c r="CT271">
        <f t="shared" si="19"/>
        <v>175</v>
      </c>
      <c r="CU271" t="str">
        <f t="shared" si="29"/>
        <v/>
      </c>
      <c r="CV271" s="81">
        <f t="shared" si="567"/>
        <v>175</v>
      </c>
      <c r="CW271" s="81">
        <f>(CV271/25)^1.5*(Calculator!$BU$4/10000)*CW$5</f>
        <v>47.821272343654172</v>
      </c>
      <c r="CX271" t="str">
        <f t="shared" si="568"/>
        <v>$175</v>
      </c>
    </row>
    <row r="272" spans="2:102" x14ac:dyDescent="0.25">
      <c r="B272" s="115" t="s">
        <v>233</v>
      </c>
      <c r="C272" s="13">
        <v>46236.341666666667</v>
      </c>
      <c r="D272">
        <v>37174</v>
      </c>
      <c r="E272" s="54" t="s">
        <v>237</v>
      </c>
      <c r="F272" s="54" t="s">
        <v>675</v>
      </c>
      <c r="G272" s="54" t="s">
        <v>2176</v>
      </c>
      <c r="H272" s="55">
        <v>13</v>
      </c>
      <c r="I272" s="55">
        <v>12.6</v>
      </c>
      <c r="J272" s="55">
        <v>12.4</v>
      </c>
      <c r="K272" s="54"/>
      <c r="L272" s="56" t="b">
        <v>0</v>
      </c>
      <c r="M272" s="56" t="b">
        <v>0</v>
      </c>
      <c r="N272" s="54">
        <v>1</v>
      </c>
      <c r="O272" s="54" t="s">
        <v>228</v>
      </c>
      <c r="P272" s="54">
        <v>23</v>
      </c>
      <c r="Q272" s="54">
        <v>23</v>
      </c>
      <c r="R272" s="54">
        <v>175</v>
      </c>
      <c r="S272" s="54" t="s">
        <v>677</v>
      </c>
      <c r="T272" s="54" t="s">
        <v>678</v>
      </c>
      <c r="U272" s="54" t="s">
        <v>679</v>
      </c>
      <c r="V272" s="54" t="s">
        <v>1706</v>
      </c>
      <c r="W272" s="54" t="b">
        <v>0</v>
      </c>
      <c r="X272" s="54"/>
      <c r="Y272" s="57" t="s">
        <v>2177</v>
      </c>
      <c r="Z272" s="54" t="s">
        <v>677</v>
      </c>
      <c r="AA272" s="54"/>
      <c r="AB272" s="54" t="s">
        <v>680</v>
      </c>
      <c r="AC272" s="56" t="b">
        <v>1</v>
      </c>
      <c r="AD272" s="56" t="b">
        <v>0</v>
      </c>
      <c r="AE272" s="54" t="s">
        <v>303</v>
      </c>
      <c r="AF272" s="58">
        <v>46235</v>
      </c>
      <c r="AG272" s="62" t="s">
        <v>293</v>
      </c>
      <c r="AH272" s="54">
        <v>0</v>
      </c>
      <c r="AI272" s="54"/>
      <c r="AJ272" s="54"/>
      <c r="AK272" s="54"/>
      <c r="AL272" s="54"/>
      <c r="AM272" s="54">
        <v>0</v>
      </c>
      <c r="AN272" s="54"/>
      <c r="AO272" s="54"/>
      <c r="AP272" s="54"/>
      <c r="AQ272" s="54"/>
      <c r="AR272" s="54"/>
      <c r="AS272" s="54"/>
      <c r="AT272" s="54"/>
      <c r="AU272" s="54"/>
      <c r="AV272" s="54"/>
      <c r="AW272" s="54"/>
      <c r="AX272" s="59"/>
      <c r="AY272" s="59"/>
      <c r="AZ272" s="59"/>
      <c r="BA272" s="59"/>
      <c r="BB272" s="59">
        <v>6.0699999999999997E-2</v>
      </c>
      <c r="BC272" s="60"/>
      <c r="BD272" s="61"/>
      <c r="BE272" s="62" t="s">
        <v>293</v>
      </c>
      <c r="BF272" s="35">
        <f t="shared" si="557"/>
        <v>4.0600000000000005</v>
      </c>
      <c r="BG272" s="35">
        <f t="shared" si="557"/>
        <v>6.0295000000000001E-2</v>
      </c>
      <c r="BH272" s="35" t="str">
        <f t="shared" si="558"/>
        <v>Low</v>
      </c>
      <c r="BI272" s="110">
        <f t="shared" si="559"/>
        <v>0</v>
      </c>
      <c r="BJ272" s="83" t="str">
        <f>VLOOKUP($F272,REP_Info!$D$6:$H$250,5,FALSE)</f>
        <v/>
      </c>
      <c r="BK272" s="30">
        <f t="shared" si="560"/>
        <v>12.9115</v>
      </c>
      <c r="BL272" s="30">
        <f t="shared" si="560"/>
        <v>12.5055</v>
      </c>
      <c r="BM272" s="30">
        <f t="shared" si="560"/>
        <v>12.3025</v>
      </c>
      <c r="BN272" s="29">
        <f t="shared" si="560"/>
        <v>12.234833333333331</v>
      </c>
      <c r="BO272" s="85" t="str">
        <f t="shared" si="2"/>
        <v>$$$</v>
      </c>
      <c r="BP272" s="88" t="str">
        <f t="shared" si="561"/>
        <v>$$$</v>
      </c>
      <c r="BQ272" s="88" t="str">
        <f t="shared" si="4"/>
        <v>$$$</v>
      </c>
      <c r="BR272" s="88" t="str">
        <f t="shared" si="5"/>
        <v>$$$</v>
      </c>
      <c r="BS272" s="29" t="e">
        <f t="shared" si="562"/>
        <v>#N/A</v>
      </c>
      <c r="BT272" s="29" t="e">
        <f t="shared" si="562"/>
        <v>#N/A</v>
      </c>
      <c r="BU272" s="29" t="e">
        <f t="shared" si="562"/>
        <v>#N/A</v>
      </c>
      <c r="BV272" s="29" t="e">
        <f t="shared" si="562"/>
        <v>#N/A</v>
      </c>
      <c r="BW272" s="29" t="e">
        <f t="shared" si="562"/>
        <v>#N/A</v>
      </c>
      <c r="BX272" s="29" t="e">
        <f t="shared" si="562"/>
        <v>#N/A</v>
      </c>
      <c r="BY272" s="29" t="e">
        <f t="shared" si="562"/>
        <v>#N/A</v>
      </c>
      <c r="BZ272" s="29" t="e">
        <f t="shared" si="562"/>
        <v>#N/A</v>
      </c>
      <c r="CA272" s="29" t="e">
        <f t="shared" si="562"/>
        <v>#N/A</v>
      </c>
      <c r="CB272" s="29" t="e">
        <f t="shared" si="562"/>
        <v>#N/A</v>
      </c>
      <c r="CC272" s="29" t="e">
        <f t="shared" si="562"/>
        <v>#N/A</v>
      </c>
      <c r="CD272" s="29" t="e">
        <f t="shared" si="562"/>
        <v>#N/A</v>
      </c>
      <c r="CE272" s="6" t="str">
        <f t="shared" si="453"/>
        <v/>
      </c>
      <c r="CF272" s="27" t="e">
        <f>IF(AND(CI272,NOT(AD272)),LOOKUP(CF$5,{0,750,1500},H272:J272),"")</f>
        <v>#N/A</v>
      </c>
      <c r="CG272" s="6" t="str">
        <f t="shared" si="454"/>
        <v/>
      </c>
      <c r="CH272" t="e">
        <f t="shared" si="563"/>
        <v>#N/A</v>
      </c>
      <c r="CI272" t="e">
        <f t="shared" si="564"/>
        <v>#N/A</v>
      </c>
      <c r="CJ272" s="6" t="e">
        <f t="shared" si="11"/>
        <v>#N/A</v>
      </c>
      <c r="CK272" s="6">
        <f t="shared" si="12"/>
        <v>1</v>
      </c>
      <c r="CL272" s="6">
        <f t="shared" si="26"/>
        <v>1</v>
      </c>
      <c r="CM272" s="6">
        <f t="shared" si="13"/>
        <v>1</v>
      </c>
      <c r="CN272" s="6">
        <f t="shared" si="14"/>
        <v>1</v>
      </c>
      <c r="CO272" s="6">
        <f t="shared" si="15"/>
        <v>0</v>
      </c>
      <c r="CP272" s="6">
        <f t="shared" si="16"/>
        <v>1</v>
      </c>
      <c r="CQ272" s="6">
        <f t="shared" si="565"/>
        <v>1</v>
      </c>
      <c r="CR272" s="81" t="str">
        <f t="shared" si="17"/>
        <v/>
      </c>
      <c r="CS272">
        <f t="shared" si="566"/>
        <v>0</v>
      </c>
      <c r="CT272">
        <f t="shared" si="19"/>
        <v>175</v>
      </c>
      <c r="CU272" t="str">
        <f t="shared" si="29"/>
        <v/>
      </c>
      <c r="CV272" s="81">
        <f t="shared" si="567"/>
        <v>175</v>
      </c>
      <c r="CW272" s="81">
        <f>(CV272/25)^1.5*(Calculator!$BU$4/10000)*CW$5</f>
        <v>47.821272343654172</v>
      </c>
      <c r="CX272" t="str">
        <f t="shared" si="568"/>
        <v>$175</v>
      </c>
    </row>
    <row r="273" spans="2:102" x14ac:dyDescent="0.25">
      <c r="B273" s="115" t="s">
        <v>233</v>
      </c>
      <c r="C273" s="13">
        <v>46236.341666666667</v>
      </c>
      <c r="D273">
        <v>37177</v>
      </c>
      <c r="E273" s="54" t="s">
        <v>235</v>
      </c>
      <c r="F273" s="54" t="s">
        <v>675</v>
      </c>
      <c r="G273" s="54" t="s">
        <v>2176</v>
      </c>
      <c r="H273" s="55">
        <v>12.2</v>
      </c>
      <c r="I273" s="55">
        <v>11.700000000000001</v>
      </c>
      <c r="J273" s="55">
        <v>11.5</v>
      </c>
      <c r="K273" s="54"/>
      <c r="L273" s="56" t="b">
        <v>0</v>
      </c>
      <c r="M273" s="56" t="b">
        <v>0</v>
      </c>
      <c r="N273" s="54">
        <v>1</v>
      </c>
      <c r="O273" s="54" t="s">
        <v>228</v>
      </c>
      <c r="P273" s="54">
        <v>23</v>
      </c>
      <c r="Q273" s="54">
        <v>23</v>
      </c>
      <c r="R273" s="54">
        <v>175</v>
      </c>
      <c r="S273" s="54" t="s">
        <v>677</v>
      </c>
      <c r="T273" s="54" t="s">
        <v>678</v>
      </c>
      <c r="U273" s="54" t="s">
        <v>679</v>
      </c>
      <c r="V273" s="54" t="s">
        <v>1706</v>
      </c>
      <c r="W273" s="54" t="b">
        <v>0</v>
      </c>
      <c r="X273" s="54"/>
      <c r="Y273" s="57" t="s">
        <v>2178</v>
      </c>
      <c r="Z273" s="54" t="s">
        <v>677</v>
      </c>
      <c r="AA273" s="54"/>
      <c r="AB273" s="54" t="s">
        <v>680</v>
      </c>
      <c r="AC273" s="56" t="b">
        <v>1</v>
      </c>
      <c r="AD273" s="56" t="b">
        <v>0</v>
      </c>
      <c r="AE273" s="54" t="s">
        <v>303</v>
      </c>
      <c r="AF273" s="58">
        <v>46235</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6.1899999999999997E-2</v>
      </c>
      <c r="BC273" s="60"/>
      <c r="BD273" s="61"/>
      <c r="BE273" s="62" t="s">
        <v>293</v>
      </c>
      <c r="BF273" s="35">
        <f t="shared" si="557"/>
        <v>4.9000000000000004</v>
      </c>
      <c r="BG273" s="35">
        <f t="shared" si="557"/>
        <v>5.1461E-2</v>
      </c>
      <c r="BH273" s="35" t="str">
        <f t="shared" si="558"/>
        <v>Low</v>
      </c>
      <c r="BI273" s="110">
        <f t="shared" si="559"/>
        <v>0</v>
      </c>
      <c r="BJ273" s="83" t="str">
        <f>VLOOKUP($F273,REP_Info!$D$6:$H$250,5,FALSE)</f>
        <v/>
      </c>
      <c r="BK273" s="30">
        <f t="shared" si="560"/>
        <v>12.3161</v>
      </c>
      <c r="BL273" s="30">
        <f t="shared" si="560"/>
        <v>11.8261</v>
      </c>
      <c r="BM273" s="30">
        <f t="shared" si="560"/>
        <v>11.581099999999999</v>
      </c>
      <c r="BN273" s="29">
        <f t="shared" si="560"/>
        <v>11.499433333333334</v>
      </c>
      <c r="BO273" s="85" t="str">
        <f t="shared" ref="BO273:BO276" si="569">IFERROR(SUMPRODUCT($BS$7:$CD$7,$BS273:$CD273)/100,"$$$")</f>
        <v>$$$</v>
      </c>
      <c r="BP273" s="88" t="str">
        <f t="shared" si="561"/>
        <v>$$$</v>
      </c>
      <c r="BQ273" s="88" t="str">
        <f t="shared" ref="BQ273:BQ276" si="570">IFERROR(SUMPRODUCT($BS$7:$CD$7,$BS273:$CD273,--($BS$4:$CD$4&lt;=$Q273))/SUMPRODUCT(--($BS$4:$CD$4&lt;=$Q273),$BS$7:$CD$7),"$$$")</f>
        <v>$$$</v>
      </c>
      <c r="BR273" s="88" t="str">
        <f t="shared" ref="BR273:BR276" si="571">IFERROR($BQ273-$BF273*100*SUMPRODUCT(--($BS$4:$CD$4&lt;=$Q273))/SUMPRODUCT(--($BS$4:$CD$4&lt;=$Q273),$BS$7:$CD$7)-$BG273*100,"$$$")</f>
        <v>$$$</v>
      </c>
      <c r="BS273" s="29" t="e">
        <f t="shared" si="562"/>
        <v>#N/A</v>
      </c>
      <c r="BT273" s="29" t="e">
        <f t="shared" si="562"/>
        <v>#N/A</v>
      </c>
      <c r="BU273" s="29" t="e">
        <f t="shared" si="562"/>
        <v>#N/A</v>
      </c>
      <c r="BV273" s="29" t="e">
        <f t="shared" si="562"/>
        <v>#N/A</v>
      </c>
      <c r="BW273" s="29" t="e">
        <f t="shared" si="562"/>
        <v>#N/A</v>
      </c>
      <c r="BX273" s="29" t="e">
        <f t="shared" si="562"/>
        <v>#N/A</v>
      </c>
      <c r="BY273" s="29" t="e">
        <f t="shared" si="562"/>
        <v>#N/A</v>
      </c>
      <c r="BZ273" s="29" t="e">
        <f t="shared" si="562"/>
        <v>#N/A</v>
      </c>
      <c r="CA273" s="29" t="e">
        <f t="shared" si="562"/>
        <v>#N/A</v>
      </c>
      <c r="CB273" s="29" t="e">
        <f t="shared" si="562"/>
        <v>#N/A</v>
      </c>
      <c r="CC273" s="29" t="e">
        <f t="shared" si="562"/>
        <v>#N/A</v>
      </c>
      <c r="CD273" s="29" t="e">
        <f t="shared" si="562"/>
        <v>#N/A</v>
      </c>
      <c r="CE273" s="6" t="str">
        <f t="shared" si="453"/>
        <v/>
      </c>
      <c r="CF273" s="27" t="e">
        <f>IF(AND(CI273,NOT(AD273)),LOOKUP(CF$5,{0,750,1500},H273:J273),"")</f>
        <v>#N/A</v>
      </c>
      <c r="CG273" s="6" t="str">
        <f t="shared" si="454"/>
        <v/>
      </c>
      <c r="CH273" t="e">
        <f t="shared" si="563"/>
        <v>#N/A</v>
      </c>
      <c r="CI273" t="e">
        <f t="shared" si="564"/>
        <v>#N/A</v>
      </c>
      <c r="CJ273" s="6" t="e">
        <f t="shared" ref="CJ273:CJ276" si="572">IF($E273=CJ$5,1,0)</f>
        <v>#N/A</v>
      </c>
      <c r="CK273" s="6">
        <f t="shared" ref="CK273:CK276" si="573">IF(CK$5="[Any]",1,IF($F273=CK$5,1,0))</f>
        <v>1</v>
      </c>
      <c r="CL273" s="6">
        <f t="shared" si="26"/>
        <v>1</v>
      </c>
      <c r="CM273" s="6">
        <f t="shared" ref="CM273:CM276" si="574">IF($O273="Fixed",1,0)</f>
        <v>1</v>
      </c>
      <c r="CN273" s="6">
        <f t="shared" ref="CN273:CN276" si="575">IF($Q273&gt;=CN$5,1,0)</f>
        <v>1</v>
      </c>
      <c r="CO273" s="6">
        <f t="shared" ref="CO273:CO276" si="576">IF($Q273&lt;=CO$5,1,0)</f>
        <v>0</v>
      </c>
      <c r="CP273" s="6">
        <f t="shared" ref="CP273:CP276" si="577">IF($P273&gt;=CP$5,1,0)</f>
        <v>1</v>
      </c>
      <c r="CQ273" s="6">
        <f t="shared" si="565"/>
        <v>1</v>
      </c>
      <c r="CR273" s="81" t="str">
        <f t="shared" ref="CR273:CR276" si="578">IF(ISNUMBER($CH273),$CH273+$CS273+$CW273,"")</f>
        <v/>
      </c>
      <c r="CS273">
        <f t="shared" si="566"/>
        <v>0</v>
      </c>
      <c r="CT273">
        <f t="shared" si="19"/>
        <v>175</v>
      </c>
      <c r="CU273" t="str">
        <f t="shared" si="29"/>
        <v/>
      </c>
      <c r="CV273" s="81">
        <f t="shared" si="567"/>
        <v>175</v>
      </c>
      <c r="CW273" s="81">
        <f>(CV273/25)^1.5*(Calculator!$BU$4/10000)*CW$5</f>
        <v>47.821272343654172</v>
      </c>
      <c r="CX273" t="str">
        <f t="shared" si="568"/>
        <v>$175</v>
      </c>
    </row>
    <row r="274" spans="2:102" x14ac:dyDescent="0.25">
      <c r="B274" s="115" t="s">
        <v>233</v>
      </c>
      <c r="C274" s="13">
        <v>46218.518055555556</v>
      </c>
      <c r="D274">
        <v>36340</v>
      </c>
      <c r="E274" s="54" t="s">
        <v>235</v>
      </c>
      <c r="F274" s="54" t="s">
        <v>1269</v>
      </c>
      <c r="G274" s="54" t="s">
        <v>1644</v>
      </c>
      <c r="H274" s="55">
        <v>14.299999999999999</v>
      </c>
      <c r="I274" s="55">
        <v>13.3</v>
      </c>
      <c r="J274" s="55">
        <v>12.8</v>
      </c>
      <c r="K274" s="54"/>
      <c r="L274" s="56" t="b">
        <v>0</v>
      </c>
      <c r="M274" s="56" t="b">
        <v>0</v>
      </c>
      <c r="N274" s="54">
        <v>1</v>
      </c>
      <c r="O274" s="54" t="s">
        <v>228</v>
      </c>
      <c r="P274" s="54">
        <v>100</v>
      </c>
      <c r="Q274" s="54">
        <v>9</v>
      </c>
      <c r="R274" s="54" t="s">
        <v>1645</v>
      </c>
      <c r="S274" s="54" t="s">
        <v>1646</v>
      </c>
      <c r="T274" s="54" t="s">
        <v>1647</v>
      </c>
      <c r="U274" s="54" t="s">
        <v>1632</v>
      </c>
      <c r="V274" s="54" t="s">
        <v>1648</v>
      </c>
      <c r="W274" s="54" t="b">
        <v>0</v>
      </c>
      <c r="X274" s="54"/>
      <c r="Y274" s="57" t="s">
        <v>1909</v>
      </c>
      <c r="Z274" s="54" t="s">
        <v>1649</v>
      </c>
      <c r="AA274" s="54"/>
      <c r="AB274" s="54" t="s">
        <v>1650</v>
      </c>
      <c r="AC274" s="56" t="b">
        <v>1</v>
      </c>
      <c r="AD274" s="56" t="b">
        <v>0</v>
      </c>
      <c r="AE274" s="54" t="s">
        <v>303</v>
      </c>
      <c r="AF274" s="58">
        <v>46205</v>
      </c>
      <c r="AG274" s="62" t="s">
        <v>293</v>
      </c>
      <c r="AH274" s="54">
        <v>0</v>
      </c>
      <c r="AI274" s="54"/>
      <c r="AJ274" s="54"/>
      <c r="AK274" s="54"/>
      <c r="AL274" s="54"/>
      <c r="AM274" s="54">
        <v>4.95</v>
      </c>
      <c r="AN274" s="54"/>
      <c r="AO274" s="54"/>
      <c r="AP274" s="54"/>
      <c r="AQ274" s="54"/>
      <c r="AR274" s="54"/>
      <c r="AS274" s="54"/>
      <c r="AT274" s="54"/>
      <c r="AU274" s="54"/>
      <c r="AV274" s="54"/>
      <c r="AW274" s="54"/>
      <c r="AX274" s="59"/>
      <c r="AY274" s="59"/>
      <c r="AZ274" s="59"/>
      <c r="BA274" s="59"/>
      <c r="BB274" s="59">
        <v>7.1999999999999995E-2</v>
      </c>
      <c r="BC274" s="60">
        <v>4.9000000000000004</v>
      </c>
      <c r="BD274" s="61">
        <v>5.1461E-2</v>
      </c>
      <c r="BE274" s="62" t="s">
        <v>293</v>
      </c>
      <c r="BF274" s="35">
        <f t="shared" si="557"/>
        <v>4.9000000000000004</v>
      </c>
      <c r="BG274" s="35">
        <f t="shared" si="557"/>
        <v>5.1461E-2</v>
      </c>
      <c r="BH274" s="35" t="str">
        <f t="shared" si="558"/>
        <v>Med</v>
      </c>
      <c r="BI274" s="110">
        <f t="shared" si="559"/>
        <v>0</v>
      </c>
      <c r="BJ274" s="83" t="str">
        <f>VLOOKUP($F274,REP_Info!$D$6:$H$250,5,FALSE)</f>
        <v/>
      </c>
      <c r="BK274" s="30">
        <f t="shared" si="560"/>
        <v>14.3161</v>
      </c>
      <c r="BL274" s="30">
        <f t="shared" si="560"/>
        <v>13.331100000000001</v>
      </c>
      <c r="BM274" s="30">
        <f t="shared" si="560"/>
        <v>12.8386</v>
      </c>
      <c r="BN274" s="29">
        <f t="shared" si="560"/>
        <v>12.674433333333331</v>
      </c>
      <c r="BO274" s="85" t="str">
        <f t="shared" si="569"/>
        <v>$$$</v>
      </c>
      <c r="BP274" s="88" t="str">
        <f t="shared" si="561"/>
        <v>$$$</v>
      </c>
      <c r="BQ274" s="88" t="str">
        <f t="shared" si="570"/>
        <v>$$$</v>
      </c>
      <c r="BR274" s="88" t="str">
        <f t="shared" si="571"/>
        <v>$$$</v>
      </c>
      <c r="BS274" s="29" t="e">
        <f t="shared" si="562"/>
        <v>#N/A</v>
      </c>
      <c r="BT274" s="29" t="e">
        <f t="shared" si="562"/>
        <v>#N/A</v>
      </c>
      <c r="BU274" s="29" t="e">
        <f t="shared" si="562"/>
        <v>#N/A</v>
      </c>
      <c r="BV274" s="29" t="e">
        <f t="shared" si="562"/>
        <v>#N/A</v>
      </c>
      <c r="BW274" s="29" t="e">
        <f t="shared" si="562"/>
        <v>#N/A</v>
      </c>
      <c r="BX274" s="29" t="e">
        <f t="shared" si="562"/>
        <v>#N/A</v>
      </c>
      <c r="BY274" s="29" t="e">
        <f t="shared" si="562"/>
        <v>#N/A</v>
      </c>
      <c r="BZ274" s="29" t="e">
        <f t="shared" si="562"/>
        <v>#N/A</v>
      </c>
      <c r="CA274" s="29" t="e">
        <f t="shared" si="562"/>
        <v>#N/A</v>
      </c>
      <c r="CB274" s="29" t="e">
        <f t="shared" si="562"/>
        <v>#N/A</v>
      </c>
      <c r="CC274" s="29" t="e">
        <f t="shared" si="562"/>
        <v>#N/A</v>
      </c>
      <c r="CD274" s="29" t="e">
        <f t="shared" si="562"/>
        <v>#N/A</v>
      </c>
      <c r="CE274" s="6" t="str">
        <f t="shared" si="453"/>
        <v/>
      </c>
      <c r="CF274" s="27" t="e">
        <f>IF(AND(CI274,NOT(AD274)),LOOKUP(CF$5,{0,750,1500},H274:J274),"")</f>
        <v>#N/A</v>
      </c>
      <c r="CG274" s="6" t="str">
        <f t="shared" si="454"/>
        <v/>
      </c>
      <c r="CH274" t="e">
        <f t="shared" si="563"/>
        <v>#N/A</v>
      </c>
      <c r="CI274" t="e">
        <f t="shared" si="564"/>
        <v>#N/A</v>
      </c>
      <c r="CJ274" s="6" t="e">
        <f t="shared" si="572"/>
        <v>#N/A</v>
      </c>
      <c r="CK274" s="6">
        <f t="shared" si="573"/>
        <v>1</v>
      </c>
      <c r="CL274" s="6">
        <f t="shared" si="26"/>
        <v>1</v>
      </c>
      <c r="CM274" s="6">
        <f t="shared" si="574"/>
        <v>1</v>
      </c>
      <c r="CN274" s="6">
        <f t="shared" si="575"/>
        <v>0</v>
      </c>
      <c r="CO274" s="6">
        <f t="shared" si="576"/>
        <v>1</v>
      </c>
      <c r="CP274" s="6">
        <f t="shared" si="577"/>
        <v>1</v>
      </c>
      <c r="CQ274" s="6">
        <f t="shared" si="565"/>
        <v>1</v>
      </c>
      <c r="CR274" s="81" t="str">
        <f t="shared" si="578"/>
        <v/>
      </c>
      <c r="CS274">
        <f t="shared" si="566"/>
        <v>5.9999999999999982</v>
      </c>
      <c r="CT274">
        <f t="shared" si="19"/>
        <v>20</v>
      </c>
      <c r="CU274" t="str">
        <f t="shared" si="29"/>
        <v>rm</v>
      </c>
      <c r="CV274" s="81">
        <f t="shared" si="567"/>
        <v>180</v>
      </c>
      <c r="CW274" s="81">
        <f>(CV274/25)^1.5*(Calculator!$BU$4/10000)*CW$5</f>
        <v>49.885325635190988</v>
      </c>
      <c r="CX274" t="str">
        <f t="shared" si="568"/>
        <v>$20/rm</v>
      </c>
    </row>
    <row r="275" spans="2:102" x14ac:dyDescent="0.25">
      <c r="B275" s="115" t="s">
        <v>233</v>
      </c>
      <c r="C275" s="13">
        <v>46218.518055555556</v>
      </c>
      <c r="D275">
        <v>36341</v>
      </c>
      <c r="E275" s="54" t="s">
        <v>235</v>
      </c>
      <c r="F275" s="54" t="s">
        <v>1269</v>
      </c>
      <c r="G275" s="54" t="s">
        <v>1651</v>
      </c>
      <c r="H275" s="55">
        <v>13.900000000000002</v>
      </c>
      <c r="I275" s="55">
        <v>12.9</v>
      </c>
      <c r="J275" s="55">
        <v>12.4</v>
      </c>
      <c r="K275" s="54"/>
      <c r="L275" s="56" t="b">
        <v>0</v>
      </c>
      <c r="M275" s="56" t="b">
        <v>0</v>
      </c>
      <c r="N275" s="54">
        <v>1</v>
      </c>
      <c r="O275" s="54" t="s">
        <v>228</v>
      </c>
      <c r="P275" s="54">
        <v>100</v>
      </c>
      <c r="Q275" s="54">
        <v>12</v>
      </c>
      <c r="R275" s="54" t="s">
        <v>1645</v>
      </c>
      <c r="S275" s="54" t="s">
        <v>1646</v>
      </c>
      <c r="T275" s="54" t="s">
        <v>1652</v>
      </c>
      <c r="U275" s="54" t="s">
        <v>1632</v>
      </c>
      <c r="V275" s="54" t="s">
        <v>1648</v>
      </c>
      <c r="W275" s="54" t="b">
        <v>0</v>
      </c>
      <c r="X275" s="54"/>
      <c r="Y275" s="57" t="s">
        <v>1910</v>
      </c>
      <c r="Z275" s="54" t="s">
        <v>1649</v>
      </c>
      <c r="AA275" s="54"/>
      <c r="AB275" s="54" t="s">
        <v>1650</v>
      </c>
      <c r="AC275" s="56" t="b">
        <v>1</v>
      </c>
      <c r="AD275" s="56" t="b">
        <v>0</v>
      </c>
      <c r="AE275" s="54" t="s">
        <v>303</v>
      </c>
      <c r="AF275" s="58">
        <v>46205</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6.8000000000000005E-2</v>
      </c>
      <c r="BC275" s="60">
        <v>4.9000000000000004</v>
      </c>
      <c r="BD275" s="61">
        <v>5.1461E-2</v>
      </c>
      <c r="BE275" s="62" t="s">
        <v>293</v>
      </c>
      <c r="BF275" s="35">
        <f t="shared" si="557"/>
        <v>4.9000000000000004</v>
      </c>
      <c r="BG275" s="35">
        <f t="shared" si="557"/>
        <v>5.1461E-2</v>
      </c>
      <c r="BH275" s="35" t="str">
        <f t="shared" si="558"/>
        <v>Med</v>
      </c>
      <c r="BI275" s="110">
        <f t="shared" si="559"/>
        <v>0</v>
      </c>
      <c r="BJ275" s="83" t="str">
        <f>VLOOKUP($F275,REP_Info!$D$6:$H$250,5,FALSE)</f>
        <v/>
      </c>
      <c r="BK275" s="30">
        <f t="shared" si="560"/>
        <v>13.9161</v>
      </c>
      <c r="BL275" s="30">
        <f t="shared" si="560"/>
        <v>12.931100000000001</v>
      </c>
      <c r="BM275" s="30">
        <f t="shared" si="560"/>
        <v>12.438600000000001</v>
      </c>
      <c r="BN275" s="29">
        <f t="shared" si="560"/>
        <v>12.274433333333334</v>
      </c>
      <c r="BO275" s="85" t="str">
        <f t="shared" si="569"/>
        <v>$$$</v>
      </c>
      <c r="BP275" s="88" t="str">
        <f t="shared" si="561"/>
        <v>$$$</v>
      </c>
      <c r="BQ275" s="88" t="str">
        <f t="shared" si="570"/>
        <v>$$$</v>
      </c>
      <c r="BR275" s="88" t="str">
        <f t="shared" si="571"/>
        <v>$$$</v>
      </c>
      <c r="BS275" s="29" t="e">
        <f t="shared" si="562"/>
        <v>#N/A</v>
      </c>
      <c r="BT275" s="29" t="e">
        <f t="shared" si="562"/>
        <v>#N/A</v>
      </c>
      <c r="BU275" s="29" t="e">
        <f t="shared" si="562"/>
        <v>#N/A</v>
      </c>
      <c r="BV275" s="29" t="e">
        <f t="shared" si="562"/>
        <v>#N/A</v>
      </c>
      <c r="BW275" s="29" t="e">
        <f t="shared" si="562"/>
        <v>#N/A</v>
      </c>
      <c r="BX275" s="29" t="e">
        <f t="shared" si="562"/>
        <v>#N/A</v>
      </c>
      <c r="BY275" s="29" t="e">
        <f t="shared" si="562"/>
        <v>#N/A</v>
      </c>
      <c r="BZ275" s="29" t="e">
        <f t="shared" si="562"/>
        <v>#N/A</v>
      </c>
      <c r="CA275" s="29" t="e">
        <f t="shared" si="562"/>
        <v>#N/A</v>
      </c>
      <c r="CB275" s="29" t="e">
        <f t="shared" si="562"/>
        <v>#N/A</v>
      </c>
      <c r="CC275" s="29" t="e">
        <f t="shared" si="562"/>
        <v>#N/A</v>
      </c>
      <c r="CD275" s="29" t="e">
        <f t="shared" si="562"/>
        <v>#N/A</v>
      </c>
      <c r="CE275" s="6" t="str">
        <f t="shared" si="453"/>
        <v/>
      </c>
      <c r="CF275" s="27" t="e">
        <f>IF(AND(CI275,NOT(AD275)),LOOKUP(CF$5,{0,750,1500},H275:J275),"")</f>
        <v>#N/A</v>
      </c>
      <c r="CG275" s="6" t="str">
        <f t="shared" si="454"/>
        <v/>
      </c>
      <c r="CH275" t="e">
        <f t="shared" si="563"/>
        <v>#N/A</v>
      </c>
      <c r="CI275" t="e">
        <f t="shared" si="564"/>
        <v>#N/A</v>
      </c>
      <c r="CJ275" s="6" t="e">
        <f t="shared" si="572"/>
        <v>#N/A</v>
      </c>
      <c r="CK275" s="6">
        <f t="shared" si="573"/>
        <v>1</v>
      </c>
      <c r="CL275" s="6">
        <f t="shared" si="26"/>
        <v>1</v>
      </c>
      <c r="CM275" s="6">
        <f t="shared" si="574"/>
        <v>1</v>
      </c>
      <c r="CN275" s="6">
        <f t="shared" si="575"/>
        <v>1</v>
      </c>
      <c r="CO275" s="6">
        <f t="shared" si="576"/>
        <v>1</v>
      </c>
      <c r="CP275" s="6">
        <f t="shared" si="577"/>
        <v>1</v>
      </c>
      <c r="CQ275" s="6">
        <f t="shared" si="565"/>
        <v>1</v>
      </c>
      <c r="CR275" s="81" t="str">
        <f t="shared" si="578"/>
        <v/>
      </c>
      <c r="CS275">
        <f t="shared" si="566"/>
        <v>0</v>
      </c>
      <c r="CT275">
        <f t="shared" si="19"/>
        <v>20</v>
      </c>
      <c r="CU275" t="str">
        <f t="shared" si="29"/>
        <v>rm</v>
      </c>
      <c r="CV275" s="81">
        <f t="shared" si="567"/>
        <v>240</v>
      </c>
      <c r="CW275" s="81">
        <f>(CV275/25)^1.5*(Calculator!$BU$4/10000)*CW$5</f>
        <v>76.803483157572401</v>
      </c>
      <c r="CX275" t="str">
        <f t="shared" si="568"/>
        <v>$20/rm</v>
      </c>
    </row>
    <row r="276" spans="2:102" x14ac:dyDescent="0.25">
      <c r="B276" s="115" t="s">
        <v>233</v>
      </c>
      <c r="C276" s="13">
        <v>46218.518055555556</v>
      </c>
      <c r="D276">
        <v>36342</v>
      </c>
      <c r="E276" s="54" t="s">
        <v>235</v>
      </c>
      <c r="F276" s="54" t="s">
        <v>1269</v>
      </c>
      <c r="G276" s="54" t="s">
        <v>1653</v>
      </c>
      <c r="H276" s="55">
        <v>14.899999999999999</v>
      </c>
      <c r="I276" s="55">
        <v>13.900000000000002</v>
      </c>
      <c r="J276" s="55">
        <v>13.4</v>
      </c>
      <c r="K276" s="54"/>
      <c r="L276" s="56" t="b">
        <v>0</v>
      </c>
      <c r="M276" s="56" t="b">
        <v>0</v>
      </c>
      <c r="N276" s="54">
        <v>1</v>
      </c>
      <c r="O276" s="54" t="s">
        <v>228</v>
      </c>
      <c r="P276" s="54">
        <v>100</v>
      </c>
      <c r="Q276" s="54">
        <v>24</v>
      </c>
      <c r="R276" s="54" t="s">
        <v>1645</v>
      </c>
      <c r="S276" s="54" t="s">
        <v>1646</v>
      </c>
      <c r="T276" s="54" t="s">
        <v>1654</v>
      </c>
      <c r="U276" s="54" t="s">
        <v>1632</v>
      </c>
      <c r="V276" s="54" t="s">
        <v>1648</v>
      </c>
      <c r="W276" s="54" t="b">
        <v>0</v>
      </c>
      <c r="X276" s="54"/>
      <c r="Y276" s="57" t="s">
        <v>1911</v>
      </c>
      <c r="Z276" s="54" t="s">
        <v>1649</v>
      </c>
      <c r="AA276" s="54"/>
      <c r="AB276" s="54" t="s">
        <v>1650</v>
      </c>
      <c r="AC276" s="56" t="b">
        <v>1</v>
      </c>
      <c r="AD276" s="56" t="b">
        <v>0</v>
      </c>
      <c r="AE276" s="54" t="s">
        <v>303</v>
      </c>
      <c r="AF276" s="58">
        <v>46205</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7.8E-2</v>
      </c>
      <c r="BC276" s="60">
        <v>4.9000000000000004</v>
      </c>
      <c r="BD276" s="61">
        <v>5.1461E-2</v>
      </c>
      <c r="BE276" s="62" t="s">
        <v>293</v>
      </c>
      <c r="BF276" s="35">
        <f t="shared" si="557"/>
        <v>4.9000000000000004</v>
      </c>
      <c r="BG276" s="35">
        <f t="shared" si="557"/>
        <v>5.1461E-2</v>
      </c>
      <c r="BH276" s="35" t="str">
        <f t="shared" si="558"/>
        <v>Med</v>
      </c>
      <c r="BI276" s="110">
        <f t="shared" si="559"/>
        <v>0</v>
      </c>
      <c r="BJ276" s="83" t="str">
        <f>VLOOKUP($F276,REP_Info!$D$6:$H$250,5,FALSE)</f>
        <v/>
      </c>
      <c r="BK276" s="30">
        <f t="shared" si="560"/>
        <v>14.9161</v>
      </c>
      <c r="BL276" s="30">
        <f t="shared" si="560"/>
        <v>13.931100000000001</v>
      </c>
      <c r="BM276" s="30">
        <f t="shared" si="560"/>
        <v>13.438600000000001</v>
      </c>
      <c r="BN276" s="29">
        <f t="shared" si="560"/>
        <v>13.274433333333334</v>
      </c>
      <c r="BO276" s="85" t="str">
        <f t="shared" si="569"/>
        <v>$$$</v>
      </c>
      <c r="BP276" s="88" t="str">
        <f t="shared" si="561"/>
        <v>$$$</v>
      </c>
      <c r="BQ276" s="88" t="str">
        <f t="shared" si="570"/>
        <v>$$$</v>
      </c>
      <c r="BR276" s="88" t="str">
        <f t="shared" si="571"/>
        <v>$$$</v>
      </c>
      <c r="BS276" s="29" t="e">
        <f t="shared" si="562"/>
        <v>#N/A</v>
      </c>
      <c r="BT276" s="29" t="e">
        <f t="shared" si="562"/>
        <v>#N/A</v>
      </c>
      <c r="BU276" s="29" t="e">
        <f t="shared" si="562"/>
        <v>#N/A</v>
      </c>
      <c r="BV276" s="29" t="e">
        <f t="shared" si="562"/>
        <v>#N/A</v>
      </c>
      <c r="BW276" s="29" t="e">
        <f t="shared" si="562"/>
        <v>#N/A</v>
      </c>
      <c r="BX276" s="29" t="e">
        <f t="shared" si="562"/>
        <v>#N/A</v>
      </c>
      <c r="BY276" s="29" t="e">
        <f t="shared" si="562"/>
        <v>#N/A</v>
      </c>
      <c r="BZ276" s="29" t="e">
        <f t="shared" si="562"/>
        <v>#N/A</v>
      </c>
      <c r="CA276" s="29" t="e">
        <f t="shared" si="562"/>
        <v>#N/A</v>
      </c>
      <c r="CB276" s="29" t="e">
        <f t="shared" si="562"/>
        <v>#N/A</v>
      </c>
      <c r="CC276" s="29" t="e">
        <f t="shared" si="562"/>
        <v>#N/A</v>
      </c>
      <c r="CD276" s="29" t="e">
        <f t="shared" si="562"/>
        <v>#N/A</v>
      </c>
      <c r="CE276" s="6" t="str">
        <f t="shared" si="453"/>
        <v/>
      </c>
      <c r="CF276" s="27" t="e">
        <f>IF(AND(CI276,NOT(AD276)),LOOKUP(CF$5,{0,750,1500},H276:J276),"")</f>
        <v>#N/A</v>
      </c>
      <c r="CG276" s="6" t="str">
        <f t="shared" si="454"/>
        <v/>
      </c>
      <c r="CH276" t="e">
        <f t="shared" si="563"/>
        <v>#N/A</v>
      </c>
      <c r="CI276" t="e">
        <f t="shared" si="564"/>
        <v>#N/A</v>
      </c>
      <c r="CJ276" s="6" t="e">
        <f t="shared" si="572"/>
        <v>#N/A</v>
      </c>
      <c r="CK276" s="6">
        <f t="shared" si="573"/>
        <v>1</v>
      </c>
      <c r="CL276" s="6">
        <f t="shared" si="26"/>
        <v>1</v>
      </c>
      <c r="CM276" s="6">
        <f t="shared" si="574"/>
        <v>1</v>
      </c>
      <c r="CN276" s="6">
        <f t="shared" si="575"/>
        <v>1</v>
      </c>
      <c r="CO276" s="6">
        <f t="shared" si="576"/>
        <v>0</v>
      </c>
      <c r="CP276" s="6">
        <f t="shared" si="577"/>
        <v>1</v>
      </c>
      <c r="CQ276" s="6">
        <f t="shared" si="565"/>
        <v>1</v>
      </c>
      <c r="CR276" s="81" t="str">
        <f t="shared" si="578"/>
        <v/>
      </c>
      <c r="CS276">
        <f t="shared" si="566"/>
        <v>0</v>
      </c>
      <c r="CT276">
        <f t="shared" si="19"/>
        <v>20</v>
      </c>
      <c r="CU276" t="str">
        <f t="shared" si="29"/>
        <v>rm</v>
      </c>
      <c r="CV276" s="81">
        <f t="shared" si="567"/>
        <v>480</v>
      </c>
      <c r="CW276" s="81">
        <f>(CV276/25)^1.5*(Calculator!$BU$4/10000)*CW$5</f>
        <v>217.23305503786497</v>
      </c>
      <c r="CX276" t="str">
        <f t="shared" si="568"/>
        <v>$20/rm</v>
      </c>
    </row>
    <row r="277" spans="2:102" x14ac:dyDescent="0.25">
      <c r="B277" s="115" t="s">
        <v>233</v>
      </c>
      <c r="C277" s="13">
        <v>46218.518055555556</v>
      </c>
      <c r="D277">
        <v>36343</v>
      </c>
      <c r="E277" s="54" t="s">
        <v>237</v>
      </c>
      <c r="F277" s="54" t="s">
        <v>1269</v>
      </c>
      <c r="G277" s="54" t="s">
        <v>1644</v>
      </c>
      <c r="H277" s="55">
        <v>15.6</v>
      </c>
      <c r="I277" s="55">
        <v>14.7</v>
      </c>
      <c r="J277" s="55">
        <v>14.299999999999999</v>
      </c>
      <c r="K277" s="54"/>
      <c r="L277" s="56" t="b">
        <v>0</v>
      </c>
      <c r="M277" s="56" t="b">
        <v>0</v>
      </c>
      <c r="N277" s="54">
        <v>1</v>
      </c>
      <c r="O277" s="54" t="s">
        <v>228</v>
      </c>
      <c r="P277" s="54">
        <v>100</v>
      </c>
      <c r="Q277" s="54">
        <v>9</v>
      </c>
      <c r="R277" s="54" t="s">
        <v>1645</v>
      </c>
      <c r="S277" s="54" t="s">
        <v>1646</v>
      </c>
      <c r="T277" s="54" t="s">
        <v>1647</v>
      </c>
      <c r="U277" s="54" t="s">
        <v>1632</v>
      </c>
      <c r="V277" s="54" t="s">
        <v>1648</v>
      </c>
      <c r="W277" s="54" t="b">
        <v>0</v>
      </c>
      <c r="X277" s="54"/>
      <c r="Y277" s="57" t="s">
        <v>1912</v>
      </c>
      <c r="Z277" s="54" t="s">
        <v>1655</v>
      </c>
      <c r="AA277" s="54"/>
      <c r="AB277" s="54" t="s">
        <v>1650</v>
      </c>
      <c r="AC277" s="56" t="b">
        <v>1</v>
      </c>
      <c r="AD277" s="56" t="b">
        <v>0</v>
      </c>
      <c r="AE277" s="54" t="s">
        <v>303</v>
      </c>
      <c r="AF277" s="58">
        <v>46205</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7.6999999999999999E-2</v>
      </c>
      <c r="BC277" s="60">
        <v>4.0599999999999996</v>
      </c>
      <c r="BD277" s="61">
        <v>6.1196E-2</v>
      </c>
      <c r="BE277" s="62" t="s">
        <v>293</v>
      </c>
      <c r="BF277" s="35">
        <f t="shared" ref="BF277:BG282" si="579">IF($E277=$E$4,BF$4,IF($E277=$E$5,BF$5,""))</f>
        <v>4.0600000000000005</v>
      </c>
      <c r="BG277" s="35">
        <f t="shared" si="579"/>
        <v>6.0295000000000001E-2</v>
      </c>
      <c r="BH277" s="35" t="str">
        <f t="shared" ref="BH277:BH282" si="580">IF(ISTEXT(BE277),IF(AND(AV277=0,SUM(AN277:AQ277)=0),IF(AM277&lt;=0,IF(BE277="Y","Low","Flat"),"Med"),"High"),"?")</f>
        <v>Med</v>
      </c>
      <c r="BI277" s="110">
        <f t="shared" ref="BI277:BI282" si="581">IF(ISNUMBER(AH277),0*BI$5*SIN((EDATE($A$3,$Q277)-DATE(YEAR(EDATE($A$3,$Q277)),1,0)-BI$4)*2*PI()/365),"")</f>
        <v>0</v>
      </c>
      <c r="BJ277" s="83" t="str">
        <f>VLOOKUP($F277,REP_Info!$D$6:$H$250,5,FALSE)</f>
        <v/>
      </c>
      <c r="BK277" s="30">
        <f t="shared" ref="BK277:BN282" si="582">IF(BK$7&gt;0,(LOOKUP(BK$7,$AH277:$AL277,$AM277:$AQ277)+IF($AG277="Y",SUMPRODUCT($AX277:$BB277-$AW277:$BA277,BK$7-$AR277:$AV277,N(BK$7&gt;$AR277:$AV277)),BK$7*LOOKUP(BK$7,$AR277:$AV277,$AX277:$BB277))+IF($BE277="Y",$BF277,$BC277)+BK$7*IF($BE277="Y",$BG277,$BD277))*100/BK$7,"")</f>
        <v>15.531499999999999</v>
      </c>
      <c r="BL277" s="30">
        <f t="shared" si="582"/>
        <v>14.6305</v>
      </c>
      <c r="BM277" s="30">
        <f t="shared" si="582"/>
        <v>14.180000000000001</v>
      </c>
      <c r="BN277" s="29">
        <f t="shared" si="582"/>
        <v>14.029833333333332</v>
      </c>
      <c r="BO277" s="85" t="str">
        <f t="shared" si="2"/>
        <v>$$$</v>
      </c>
      <c r="BP277" s="88" t="str">
        <f t="shared" ref="BP277:BP282" si="583">IFERROR(BO277*100/BO$5,"$$$")</f>
        <v>$$$</v>
      </c>
      <c r="BQ277" s="88" t="str">
        <f t="shared" si="4"/>
        <v>$$$</v>
      </c>
      <c r="BR277" s="88" t="str">
        <f t="shared" si="5"/>
        <v>$$$</v>
      </c>
      <c r="BS277" s="29" t="e">
        <f t="shared" ref="BS277:CD282" si="584">IF($CI277,IF(BS$7&gt;0,IF(BS$4&gt;$Q277,$BF277+BS$7*(BS$5+$BG277+$BI277),LOOKUP(BS$7,$AH277:$AL277,$AM277:$AQ277)+IF($AG277="Y",SUMPRODUCT($AX277:$BB277-$AW277:$BA277,BS$7-$AR277:$AV277,N(BS$7&gt;$AR277:$AV277)),BS$7*LOOKUP(BS$7,$AR277:$AV277,$AX277:$BB277))+IF($BE277="Y",$BF277,$BC277)+BS$7*IF($BE277="Y",$BG277,$BD277))*100/BS$7,""),NA())</f>
        <v>#N/A</v>
      </c>
      <c r="BT277" s="29" t="e">
        <f t="shared" si="584"/>
        <v>#N/A</v>
      </c>
      <c r="BU277" s="29" t="e">
        <f t="shared" si="584"/>
        <v>#N/A</v>
      </c>
      <c r="BV277" s="29" t="e">
        <f t="shared" si="584"/>
        <v>#N/A</v>
      </c>
      <c r="BW277" s="29" t="e">
        <f t="shared" si="584"/>
        <v>#N/A</v>
      </c>
      <c r="BX277" s="29" t="e">
        <f t="shared" si="584"/>
        <v>#N/A</v>
      </c>
      <c r="BY277" s="29" t="e">
        <f t="shared" si="584"/>
        <v>#N/A</v>
      </c>
      <c r="BZ277" s="29" t="e">
        <f t="shared" si="584"/>
        <v>#N/A</v>
      </c>
      <c r="CA277" s="29" t="e">
        <f t="shared" si="584"/>
        <v>#N/A</v>
      </c>
      <c r="CB277" s="29" t="e">
        <f t="shared" si="584"/>
        <v>#N/A</v>
      </c>
      <c r="CC277" s="29" t="e">
        <f t="shared" si="584"/>
        <v>#N/A</v>
      </c>
      <c r="CD277" s="29" t="e">
        <f t="shared" si="584"/>
        <v>#N/A</v>
      </c>
      <c r="CE277" s="6" t="str">
        <f t="shared" si="453"/>
        <v/>
      </c>
      <c r="CF277" s="27" t="e">
        <f>IF(AND(CI277,NOT(AD277)),LOOKUP(CF$5,{0,750,1500},H277:J277),"")</f>
        <v>#N/A</v>
      </c>
      <c r="CG277" s="6" t="str">
        <f t="shared" si="454"/>
        <v/>
      </c>
      <c r="CH277" t="e">
        <f t="shared" ref="CH277:CH282" si="585">IF(CI277,IF(ISNUMBER(BO277),BO277,100000)+CV277/10000+IF(ISNUMBER(BJ277),BJ277,2)/10000-P277/100000+ROW()/10000000,"")</f>
        <v>#N/A</v>
      </c>
      <c r="CI277" t="e">
        <f t="shared" ref="CI277:CI282" si="586">PRODUCT(CJ277:CQ277)</f>
        <v>#N/A</v>
      </c>
      <c r="CJ277" s="6" t="e">
        <f t="shared" si="11"/>
        <v>#N/A</v>
      </c>
      <c r="CK277" s="6">
        <f t="shared" si="12"/>
        <v>1</v>
      </c>
      <c r="CL277" s="6">
        <f t="shared" si="26"/>
        <v>1</v>
      </c>
      <c r="CM277" s="6">
        <f t="shared" si="13"/>
        <v>1</v>
      </c>
      <c r="CN277" s="6">
        <f t="shared" si="14"/>
        <v>0</v>
      </c>
      <c r="CO277" s="6">
        <f t="shared" si="15"/>
        <v>1</v>
      </c>
      <c r="CP277" s="6">
        <f t="shared" si="16"/>
        <v>1</v>
      </c>
      <c r="CQ277" s="6">
        <f t="shared" ref="CQ277:CQ282" si="587">IF(CQ$5="Any",1,IF(AND(CQ$5="Med",AV277=0,SUM(AN277:AQ277)=0),1,IF(AND(CQ$5="Low",AV277=0,SUM(AN277:AQ277)=0,AM277=0),1,IF(AND(CQ$5="Flat",AV277=0,SUM(AN277:AQ277)=0,AM277=0,IFERROR(NOT(BE277="Y"),0)),1,0))))</f>
        <v>1</v>
      </c>
      <c r="CR277" s="81" t="str">
        <f t="shared" si="17"/>
        <v/>
      </c>
      <c r="CS277">
        <f t="shared" ref="CS277:CS282" si="588">CS$5*(12/(MIN(12,Q277))-1)</f>
        <v>5.9999999999999982</v>
      </c>
      <c r="CT277">
        <f t="shared" si="19"/>
        <v>20</v>
      </c>
      <c r="CU277" t="str">
        <f t="shared" si="29"/>
        <v>rm</v>
      </c>
      <c r="CV277" s="81">
        <f t="shared" ref="CV277:CV282" si="589">CT277*IF(CU277="",1,Q277)</f>
        <v>180</v>
      </c>
      <c r="CW277" s="81">
        <f>(CV277/25)^1.5*(Calculator!$BU$4/10000)*CW$5</f>
        <v>49.885325635190988</v>
      </c>
      <c r="CX277" t="str">
        <f t="shared" ref="CX277:CX282" si="590">"$"&amp;IF(LEFT(CU277,1)="r",CT277&amp;"/"&amp;CU277,CV277)</f>
        <v>$20/rm</v>
      </c>
    </row>
    <row r="278" spans="2:102" x14ac:dyDescent="0.25">
      <c r="B278" s="115" t="s">
        <v>233</v>
      </c>
      <c r="C278" s="13">
        <v>46218.518055555556</v>
      </c>
      <c r="D278">
        <v>36344</v>
      </c>
      <c r="E278" s="54" t="s">
        <v>237</v>
      </c>
      <c r="F278" s="54" t="s">
        <v>1269</v>
      </c>
      <c r="G278" s="54" t="s">
        <v>1651</v>
      </c>
      <c r="H278" s="55">
        <v>15.1</v>
      </c>
      <c r="I278" s="55">
        <v>14.2</v>
      </c>
      <c r="J278" s="55">
        <v>13.8</v>
      </c>
      <c r="K278" s="54"/>
      <c r="L278" s="56" t="b">
        <v>0</v>
      </c>
      <c r="M278" s="56" t="b">
        <v>0</v>
      </c>
      <c r="N278" s="54">
        <v>1</v>
      </c>
      <c r="O278" s="54" t="s">
        <v>228</v>
      </c>
      <c r="P278" s="54">
        <v>100</v>
      </c>
      <c r="Q278" s="54">
        <v>12</v>
      </c>
      <c r="R278" s="54" t="s">
        <v>1645</v>
      </c>
      <c r="S278" s="54" t="s">
        <v>1646</v>
      </c>
      <c r="T278" s="54" t="s">
        <v>1652</v>
      </c>
      <c r="U278" s="54" t="s">
        <v>1632</v>
      </c>
      <c r="V278" s="54" t="s">
        <v>1648</v>
      </c>
      <c r="W278" s="54" t="b">
        <v>0</v>
      </c>
      <c r="X278" s="54"/>
      <c r="Y278" s="57" t="s">
        <v>1913</v>
      </c>
      <c r="Z278" s="54" t="s">
        <v>1655</v>
      </c>
      <c r="AA278" s="54"/>
      <c r="AB278" s="54" t="s">
        <v>1650</v>
      </c>
      <c r="AC278" s="56" t="b">
        <v>1</v>
      </c>
      <c r="AD278" s="56" t="b">
        <v>0</v>
      </c>
      <c r="AE278" s="54" t="s">
        <v>303</v>
      </c>
      <c r="AF278" s="58">
        <v>46205</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7.1999999999999995E-2</v>
      </c>
      <c r="BC278" s="60">
        <v>4.0599999999999996</v>
      </c>
      <c r="BD278" s="61">
        <v>6.1196E-2</v>
      </c>
      <c r="BE278" s="62" t="s">
        <v>293</v>
      </c>
      <c r="BF278" s="35">
        <f t="shared" si="579"/>
        <v>4.0600000000000005</v>
      </c>
      <c r="BG278" s="35">
        <f t="shared" si="579"/>
        <v>6.0295000000000001E-2</v>
      </c>
      <c r="BH278" s="35" t="str">
        <f t="shared" si="580"/>
        <v>Med</v>
      </c>
      <c r="BI278" s="110">
        <f t="shared" si="581"/>
        <v>0</v>
      </c>
      <c r="BJ278" s="83" t="str">
        <f>VLOOKUP($F278,REP_Info!$D$6:$H$250,5,FALSE)</f>
        <v/>
      </c>
      <c r="BK278" s="30">
        <f t="shared" si="582"/>
        <v>15.031499999999999</v>
      </c>
      <c r="BL278" s="30">
        <f t="shared" si="582"/>
        <v>14.1305</v>
      </c>
      <c r="BM278" s="30">
        <f t="shared" si="582"/>
        <v>13.680000000000001</v>
      </c>
      <c r="BN278" s="29">
        <f t="shared" si="582"/>
        <v>13.529833333333332</v>
      </c>
      <c r="BO278" s="85" t="str">
        <f t="shared" si="2"/>
        <v>$$$</v>
      </c>
      <c r="BP278" s="88" t="str">
        <f t="shared" si="583"/>
        <v>$$$</v>
      </c>
      <c r="BQ278" s="88" t="str">
        <f t="shared" si="4"/>
        <v>$$$</v>
      </c>
      <c r="BR278" s="88" t="str">
        <f t="shared" si="5"/>
        <v>$$$</v>
      </c>
      <c r="BS278" s="29" t="e">
        <f t="shared" si="584"/>
        <v>#N/A</v>
      </c>
      <c r="BT278" s="29" t="e">
        <f t="shared" si="584"/>
        <v>#N/A</v>
      </c>
      <c r="BU278" s="29" t="e">
        <f t="shared" si="584"/>
        <v>#N/A</v>
      </c>
      <c r="BV278" s="29" t="e">
        <f t="shared" si="584"/>
        <v>#N/A</v>
      </c>
      <c r="BW278" s="29" t="e">
        <f t="shared" si="584"/>
        <v>#N/A</v>
      </c>
      <c r="BX278" s="29" t="e">
        <f t="shared" si="584"/>
        <v>#N/A</v>
      </c>
      <c r="BY278" s="29" t="e">
        <f t="shared" si="584"/>
        <v>#N/A</v>
      </c>
      <c r="BZ278" s="29" t="e">
        <f t="shared" si="584"/>
        <v>#N/A</v>
      </c>
      <c r="CA278" s="29" t="e">
        <f t="shared" si="584"/>
        <v>#N/A</v>
      </c>
      <c r="CB278" s="29" t="e">
        <f t="shared" si="584"/>
        <v>#N/A</v>
      </c>
      <c r="CC278" s="29" t="e">
        <f t="shared" si="584"/>
        <v>#N/A</v>
      </c>
      <c r="CD278" s="29" t="e">
        <f t="shared" si="584"/>
        <v>#N/A</v>
      </c>
      <c r="CE278" s="6" t="str">
        <f t="shared" si="453"/>
        <v/>
      </c>
      <c r="CF278" s="27" t="e">
        <f>IF(AND(CI278,NOT(AD278)),LOOKUP(CF$5,{0,750,1500},H278:J278),"")</f>
        <v>#N/A</v>
      </c>
      <c r="CG278" s="6" t="str">
        <f t="shared" si="454"/>
        <v/>
      </c>
      <c r="CH278" t="e">
        <f t="shared" si="585"/>
        <v>#N/A</v>
      </c>
      <c r="CI278" t="e">
        <f t="shared" si="586"/>
        <v>#N/A</v>
      </c>
      <c r="CJ278" s="6" t="e">
        <f t="shared" si="11"/>
        <v>#N/A</v>
      </c>
      <c r="CK278" s="6">
        <f t="shared" si="12"/>
        <v>1</v>
      </c>
      <c r="CL278" s="6">
        <f t="shared" si="26"/>
        <v>1</v>
      </c>
      <c r="CM278" s="6">
        <f t="shared" si="13"/>
        <v>1</v>
      </c>
      <c r="CN278" s="6">
        <f t="shared" si="14"/>
        <v>1</v>
      </c>
      <c r="CO278" s="6">
        <f t="shared" si="15"/>
        <v>1</v>
      </c>
      <c r="CP278" s="6">
        <f t="shared" si="16"/>
        <v>1</v>
      </c>
      <c r="CQ278" s="6">
        <f t="shared" si="587"/>
        <v>1</v>
      </c>
      <c r="CR278" s="81" t="str">
        <f t="shared" si="17"/>
        <v/>
      </c>
      <c r="CS278">
        <f t="shared" si="588"/>
        <v>0</v>
      </c>
      <c r="CT278">
        <f t="shared" si="19"/>
        <v>20</v>
      </c>
      <c r="CU278" t="str">
        <f t="shared" si="29"/>
        <v>rm</v>
      </c>
      <c r="CV278" s="81">
        <f t="shared" si="589"/>
        <v>240</v>
      </c>
      <c r="CW278" s="81">
        <f>(CV278/25)^1.5*(Calculator!$BU$4/10000)*CW$5</f>
        <v>76.803483157572401</v>
      </c>
      <c r="CX278" t="str">
        <f t="shared" si="590"/>
        <v>$20/rm</v>
      </c>
    </row>
    <row r="279" spans="2:102" x14ac:dyDescent="0.25">
      <c r="B279" s="115" t="s">
        <v>233</v>
      </c>
      <c r="C279" s="13">
        <v>46218.518055555556</v>
      </c>
      <c r="D279">
        <v>36345</v>
      </c>
      <c r="E279" s="54" t="s">
        <v>237</v>
      </c>
      <c r="F279" s="54" t="s">
        <v>1269</v>
      </c>
      <c r="G279" s="54" t="s">
        <v>1653</v>
      </c>
      <c r="H279" s="55">
        <v>16.100000000000001</v>
      </c>
      <c r="I279" s="55">
        <v>15.2</v>
      </c>
      <c r="J279" s="55">
        <v>14.799999999999999</v>
      </c>
      <c r="K279" s="54"/>
      <c r="L279" s="56" t="b">
        <v>0</v>
      </c>
      <c r="M279" s="56" t="b">
        <v>0</v>
      </c>
      <c r="N279" s="54">
        <v>1</v>
      </c>
      <c r="O279" s="54" t="s">
        <v>228</v>
      </c>
      <c r="P279" s="54">
        <v>100</v>
      </c>
      <c r="Q279" s="54">
        <v>24</v>
      </c>
      <c r="R279" s="54" t="s">
        <v>1645</v>
      </c>
      <c r="S279" s="54" t="s">
        <v>1646</v>
      </c>
      <c r="T279" s="54" t="s">
        <v>1654</v>
      </c>
      <c r="U279" s="54" t="s">
        <v>1632</v>
      </c>
      <c r="V279" s="54" t="s">
        <v>1648</v>
      </c>
      <c r="W279" s="54" t="b">
        <v>0</v>
      </c>
      <c r="X279" s="54"/>
      <c r="Y279" s="57" t="s">
        <v>1914</v>
      </c>
      <c r="Z279" s="54" t="s">
        <v>1655</v>
      </c>
      <c r="AA279" s="54"/>
      <c r="AB279" s="54" t="s">
        <v>1650</v>
      </c>
      <c r="AC279" s="56" t="b">
        <v>1</v>
      </c>
      <c r="AD279" s="56" t="b">
        <v>0</v>
      </c>
      <c r="AE279" s="54" t="s">
        <v>303</v>
      </c>
      <c r="AF279" s="58">
        <v>46205</v>
      </c>
      <c r="AG279" s="62" t="s">
        <v>293</v>
      </c>
      <c r="AH279" s="54">
        <v>0</v>
      </c>
      <c r="AI279" s="54"/>
      <c r="AJ279" s="54"/>
      <c r="AK279" s="54"/>
      <c r="AL279" s="54"/>
      <c r="AM279" s="54">
        <v>4.95</v>
      </c>
      <c r="AN279" s="54"/>
      <c r="AO279" s="54"/>
      <c r="AP279" s="54"/>
      <c r="AQ279" s="54"/>
      <c r="AR279" s="54"/>
      <c r="AS279" s="54"/>
      <c r="AT279" s="54"/>
      <c r="AU279" s="54"/>
      <c r="AV279" s="54"/>
      <c r="AW279" s="54"/>
      <c r="AX279" s="59"/>
      <c r="AY279" s="59"/>
      <c r="AZ279" s="59"/>
      <c r="BA279" s="59"/>
      <c r="BB279" s="59">
        <v>8.2000000000000003E-2</v>
      </c>
      <c r="BC279" s="60">
        <v>4.0599999999999996</v>
      </c>
      <c r="BD279" s="61">
        <v>6.1196E-2</v>
      </c>
      <c r="BE279" s="62" t="s">
        <v>293</v>
      </c>
      <c r="BF279" s="35">
        <f t="shared" si="579"/>
        <v>4.0600000000000005</v>
      </c>
      <c r="BG279" s="35">
        <f t="shared" si="579"/>
        <v>6.0295000000000001E-2</v>
      </c>
      <c r="BH279" s="35" t="str">
        <f t="shared" si="580"/>
        <v>Med</v>
      </c>
      <c r="BI279" s="110">
        <f t="shared" si="581"/>
        <v>0</v>
      </c>
      <c r="BJ279" s="83" t="str">
        <f>VLOOKUP($F279,REP_Info!$D$6:$H$250,5,FALSE)</f>
        <v/>
      </c>
      <c r="BK279" s="30">
        <f t="shared" si="582"/>
        <v>16.031500000000001</v>
      </c>
      <c r="BL279" s="30">
        <f t="shared" si="582"/>
        <v>15.1305</v>
      </c>
      <c r="BM279" s="30">
        <f t="shared" si="582"/>
        <v>14.680000000000001</v>
      </c>
      <c r="BN279" s="29">
        <f t="shared" si="582"/>
        <v>14.529833333333332</v>
      </c>
      <c r="BO279" s="85" t="str">
        <f t="shared" si="2"/>
        <v>$$$</v>
      </c>
      <c r="BP279" s="88" t="str">
        <f t="shared" si="583"/>
        <v>$$$</v>
      </c>
      <c r="BQ279" s="88" t="str">
        <f t="shared" si="4"/>
        <v>$$$</v>
      </c>
      <c r="BR279" s="88" t="str">
        <f t="shared" si="5"/>
        <v>$$$</v>
      </c>
      <c r="BS279" s="29" t="e">
        <f t="shared" si="584"/>
        <v>#N/A</v>
      </c>
      <c r="BT279" s="29" t="e">
        <f t="shared" si="584"/>
        <v>#N/A</v>
      </c>
      <c r="BU279" s="29" t="e">
        <f t="shared" si="584"/>
        <v>#N/A</v>
      </c>
      <c r="BV279" s="29" t="e">
        <f t="shared" si="584"/>
        <v>#N/A</v>
      </c>
      <c r="BW279" s="29" t="e">
        <f t="shared" si="584"/>
        <v>#N/A</v>
      </c>
      <c r="BX279" s="29" t="e">
        <f t="shared" si="584"/>
        <v>#N/A</v>
      </c>
      <c r="BY279" s="29" t="e">
        <f t="shared" si="584"/>
        <v>#N/A</v>
      </c>
      <c r="BZ279" s="29" t="e">
        <f t="shared" si="584"/>
        <v>#N/A</v>
      </c>
      <c r="CA279" s="29" t="e">
        <f t="shared" si="584"/>
        <v>#N/A</v>
      </c>
      <c r="CB279" s="29" t="e">
        <f t="shared" si="584"/>
        <v>#N/A</v>
      </c>
      <c r="CC279" s="29" t="e">
        <f t="shared" si="584"/>
        <v>#N/A</v>
      </c>
      <c r="CD279" s="29" t="e">
        <f t="shared" si="584"/>
        <v>#N/A</v>
      </c>
      <c r="CE279" s="6" t="str">
        <f t="shared" si="453"/>
        <v/>
      </c>
      <c r="CF279" s="27" t="e">
        <f>IF(AND(CI279,NOT(AD279)),LOOKUP(CF$5,{0,750,1500},H279:J279),"")</f>
        <v>#N/A</v>
      </c>
      <c r="CG279" s="6" t="str">
        <f t="shared" si="454"/>
        <v/>
      </c>
      <c r="CH279" t="e">
        <f t="shared" si="585"/>
        <v>#N/A</v>
      </c>
      <c r="CI279" t="e">
        <f t="shared" si="586"/>
        <v>#N/A</v>
      </c>
      <c r="CJ279" s="6" t="e">
        <f t="shared" si="11"/>
        <v>#N/A</v>
      </c>
      <c r="CK279" s="6">
        <f t="shared" si="12"/>
        <v>1</v>
      </c>
      <c r="CL279" s="6">
        <f t="shared" si="26"/>
        <v>1</v>
      </c>
      <c r="CM279" s="6">
        <f t="shared" si="13"/>
        <v>1</v>
      </c>
      <c r="CN279" s="6">
        <f t="shared" si="14"/>
        <v>1</v>
      </c>
      <c r="CO279" s="6">
        <f t="shared" si="15"/>
        <v>0</v>
      </c>
      <c r="CP279" s="6">
        <f t="shared" si="16"/>
        <v>1</v>
      </c>
      <c r="CQ279" s="6">
        <f t="shared" si="587"/>
        <v>1</v>
      </c>
      <c r="CR279" s="81" t="str">
        <f t="shared" si="17"/>
        <v/>
      </c>
      <c r="CS279">
        <f t="shared" si="588"/>
        <v>0</v>
      </c>
      <c r="CT279">
        <f t="shared" si="19"/>
        <v>20</v>
      </c>
      <c r="CU279" t="str">
        <f t="shared" si="29"/>
        <v>rm</v>
      </c>
      <c r="CV279" s="81">
        <f t="shared" si="589"/>
        <v>480</v>
      </c>
      <c r="CW279" s="81">
        <f>(CV279/25)^1.5*(Calculator!$BU$4/10000)*CW$5</f>
        <v>217.23305503786497</v>
      </c>
      <c r="CX279" t="str">
        <f t="shared" si="590"/>
        <v>$20/rm</v>
      </c>
    </row>
    <row r="280" spans="2:102" x14ac:dyDescent="0.25">
      <c r="B280" s="115" t="s">
        <v>233</v>
      </c>
      <c r="C280" s="13">
        <v>46236.341666666667</v>
      </c>
      <c r="D280">
        <v>29295</v>
      </c>
      <c r="E280" s="54" t="s">
        <v>237</v>
      </c>
      <c r="F280" s="54" t="s">
        <v>681</v>
      </c>
      <c r="G280" s="54" t="s">
        <v>2179</v>
      </c>
      <c r="H280" s="55">
        <v>13.3</v>
      </c>
      <c r="I280" s="55">
        <v>12.8</v>
      </c>
      <c r="J280" s="55">
        <v>12.6</v>
      </c>
      <c r="K280" s="54"/>
      <c r="L280" s="56" t="b">
        <v>0</v>
      </c>
      <c r="M280" s="56" t="b">
        <v>0</v>
      </c>
      <c r="N280" s="54">
        <v>1</v>
      </c>
      <c r="O280" s="54" t="s">
        <v>228</v>
      </c>
      <c r="P280" s="54">
        <v>6</v>
      </c>
      <c r="Q280" s="54">
        <v>12</v>
      </c>
      <c r="R280" s="54">
        <v>99</v>
      </c>
      <c r="S280" s="54" t="s">
        <v>1688</v>
      </c>
      <c r="T280" s="54" t="s">
        <v>2180</v>
      </c>
      <c r="U280" s="54" t="s">
        <v>1678</v>
      </c>
      <c r="V280" s="54" t="s">
        <v>1689</v>
      </c>
      <c r="W280" s="54" t="b">
        <v>0</v>
      </c>
      <c r="X280" s="54"/>
      <c r="Y280" s="57" t="s">
        <v>2181</v>
      </c>
      <c r="Z280" s="54" t="s">
        <v>1690</v>
      </c>
      <c r="AA280" s="54"/>
      <c r="AB280" s="54" t="s">
        <v>1691</v>
      </c>
      <c r="AC280" s="56" t="b">
        <v>0</v>
      </c>
      <c r="AD280" s="56" t="b">
        <v>0</v>
      </c>
      <c r="AE280" s="54" t="s">
        <v>303</v>
      </c>
      <c r="AF280" s="58">
        <v>46233</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6.3239000000000004E-2</v>
      </c>
      <c r="BC280" s="60"/>
      <c r="BD280" s="61"/>
      <c r="BE280" s="62" t="s">
        <v>293</v>
      </c>
      <c r="BF280" s="35">
        <f t="shared" si="579"/>
        <v>4.0600000000000005</v>
      </c>
      <c r="BG280" s="35">
        <f t="shared" si="579"/>
        <v>6.0295000000000001E-2</v>
      </c>
      <c r="BH280" s="35" t="str">
        <f t="shared" si="580"/>
        <v>Low</v>
      </c>
      <c r="BI280" s="110">
        <f t="shared" si="581"/>
        <v>0</v>
      </c>
      <c r="BJ280" s="83">
        <f>VLOOKUP($F280,REP_Info!$D$6:$H$250,5,FALSE)</f>
        <v>1.694</v>
      </c>
      <c r="BK280" s="30">
        <f t="shared" si="582"/>
        <v>13.1654</v>
      </c>
      <c r="BL280" s="30">
        <f t="shared" si="582"/>
        <v>12.759400000000001</v>
      </c>
      <c r="BM280" s="30">
        <f t="shared" si="582"/>
        <v>12.556400000000002</v>
      </c>
      <c r="BN280" s="29">
        <f t="shared" si="582"/>
        <v>12.488733333333334</v>
      </c>
      <c r="BO280" s="85" t="str">
        <f t="shared" si="2"/>
        <v>$$$</v>
      </c>
      <c r="BP280" s="88" t="str">
        <f t="shared" si="583"/>
        <v>$$$</v>
      </c>
      <c r="BQ280" s="88" t="str">
        <f t="shared" si="4"/>
        <v>$$$</v>
      </c>
      <c r="BR280" s="88" t="str">
        <f t="shared" si="5"/>
        <v>$$$</v>
      </c>
      <c r="BS280" s="29" t="e">
        <f t="shared" si="584"/>
        <v>#N/A</v>
      </c>
      <c r="BT280" s="29" t="e">
        <f t="shared" si="584"/>
        <v>#N/A</v>
      </c>
      <c r="BU280" s="29" t="e">
        <f t="shared" si="584"/>
        <v>#N/A</v>
      </c>
      <c r="BV280" s="29" t="e">
        <f t="shared" si="584"/>
        <v>#N/A</v>
      </c>
      <c r="BW280" s="29" t="e">
        <f t="shared" si="584"/>
        <v>#N/A</v>
      </c>
      <c r="BX280" s="29" t="e">
        <f t="shared" si="584"/>
        <v>#N/A</v>
      </c>
      <c r="BY280" s="29" t="e">
        <f t="shared" si="584"/>
        <v>#N/A</v>
      </c>
      <c r="BZ280" s="29" t="e">
        <f t="shared" si="584"/>
        <v>#N/A</v>
      </c>
      <c r="CA280" s="29" t="e">
        <f t="shared" si="584"/>
        <v>#N/A</v>
      </c>
      <c r="CB280" s="29" t="e">
        <f t="shared" si="584"/>
        <v>#N/A</v>
      </c>
      <c r="CC280" s="29" t="e">
        <f t="shared" si="584"/>
        <v>#N/A</v>
      </c>
      <c r="CD280" s="29" t="e">
        <f t="shared" si="584"/>
        <v>#N/A</v>
      </c>
      <c r="CE280" s="6" t="str">
        <f t="shared" si="453"/>
        <v/>
      </c>
      <c r="CF280" s="27" t="e">
        <f>IF(AND(CI280,NOT(AD280)),LOOKUP(CF$5,{0,750,1500},H280:J280),"")</f>
        <v>#N/A</v>
      </c>
      <c r="CG280" s="6" t="str">
        <f t="shared" si="454"/>
        <v/>
      </c>
      <c r="CH280" t="e">
        <f t="shared" si="585"/>
        <v>#N/A</v>
      </c>
      <c r="CI280" t="e">
        <f t="shared" si="586"/>
        <v>#N/A</v>
      </c>
      <c r="CJ280" s="6" t="e">
        <f t="shared" si="11"/>
        <v>#N/A</v>
      </c>
      <c r="CK280" s="6">
        <f t="shared" si="12"/>
        <v>1</v>
      </c>
      <c r="CL280" s="6">
        <f t="shared" si="26"/>
        <v>1</v>
      </c>
      <c r="CM280" s="6">
        <f t="shared" si="13"/>
        <v>1</v>
      </c>
      <c r="CN280" s="6">
        <f t="shared" si="14"/>
        <v>1</v>
      </c>
      <c r="CO280" s="6">
        <f t="shared" si="15"/>
        <v>1</v>
      </c>
      <c r="CP280" s="6">
        <f t="shared" si="16"/>
        <v>1</v>
      </c>
      <c r="CQ280" s="6">
        <f t="shared" si="587"/>
        <v>1</v>
      </c>
      <c r="CR280" s="81" t="str">
        <f t="shared" si="17"/>
        <v/>
      </c>
      <c r="CS280">
        <f t="shared" si="588"/>
        <v>0</v>
      </c>
      <c r="CT280">
        <f t="shared" si="19"/>
        <v>99</v>
      </c>
      <c r="CU280" t="str">
        <f t="shared" si="29"/>
        <v/>
      </c>
      <c r="CV280" s="81">
        <f t="shared" si="589"/>
        <v>99</v>
      </c>
      <c r="CW280" s="81">
        <f>(CV280/25)^1.5*(Calculator!$BU$4/10000)*CW$5</f>
        <v>20.347771207718779</v>
      </c>
      <c r="CX280" t="str">
        <f t="shared" si="590"/>
        <v>$99</v>
      </c>
    </row>
    <row r="281" spans="2:102" x14ac:dyDescent="0.25">
      <c r="B281" s="115" t="s">
        <v>233</v>
      </c>
      <c r="C281" s="13">
        <v>46236.341666666667</v>
      </c>
      <c r="D281">
        <v>29296</v>
      </c>
      <c r="E281" s="54" t="s">
        <v>235</v>
      </c>
      <c r="F281" s="54" t="s">
        <v>681</v>
      </c>
      <c r="G281" s="54" t="s">
        <v>2179</v>
      </c>
      <c r="H281" s="55">
        <v>12.1</v>
      </c>
      <c r="I281" s="55">
        <v>11.600000000000001</v>
      </c>
      <c r="J281" s="55">
        <v>11.4</v>
      </c>
      <c r="K281" s="54"/>
      <c r="L281" s="56" t="b">
        <v>0</v>
      </c>
      <c r="M281" s="56" t="b">
        <v>0</v>
      </c>
      <c r="N281" s="54">
        <v>1</v>
      </c>
      <c r="O281" s="54" t="s">
        <v>228</v>
      </c>
      <c r="P281" s="54">
        <v>6</v>
      </c>
      <c r="Q281" s="54">
        <v>12</v>
      </c>
      <c r="R281" s="54">
        <v>99</v>
      </c>
      <c r="S281" s="54" t="s">
        <v>1688</v>
      </c>
      <c r="T281" s="54" t="s">
        <v>2180</v>
      </c>
      <c r="U281" s="54" t="s">
        <v>1678</v>
      </c>
      <c r="V281" s="54" t="s">
        <v>1689</v>
      </c>
      <c r="W281" s="54" t="b">
        <v>0</v>
      </c>
      <c r="X281" s="54"/>
      <c r="Y281" s="57" t="s">
        <v>2182</v>
      </c>
      <c r="Z281" s="54" t="s">
        <v>1690</v>
      </c>
      <c r="AA281" s="54"/>
      <c r="AB281" s="54" t="s">
        <v>1691</v>
      </c>
      <c r="AC281" s="56" t="b">
        <v>0</v>
      </c>
      <c r="AD281" s="56" t="b">
        <v>0</v>
      </c>
      <c r="AE281" s="54" t="s">
        <v>303</v>
      </c>
      <c r="AF281" s="58">
        <v>46233</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6.0134E-2</v>
      </c>
      <c r="BC281" s="60"/>
      <c r="BD281" s="61"/>
      <c r="BE281" s="62" t="s">
        <v>293</v>
      </c>
      <c r="BF281" s="35">
        <f t="shared" si="579"/>
        <v>4.9000000000000004</v>
      </c>
      <c r="BG281" s="35">
        <f t="shared" si="579"/>
        <v>5.1461E-2</v>
      </c>
      <c r="BH281" s="35" t="str">
        <f t="shared" si="580"/>
        <v>Low</v>
      </c>
      <c r="BI281" s="110">
        <f t="shared" si="581"/>
        <v>0</v>
      </c>
      <c r="BJ281" s="83">
        <f>VLOOKUP($F281,REP_Info!$D$6:$H$250,5,FALSE)</f>
        <v>1.694</v>
      </c>
      <c r="BK281" s="30">
        <f t="shared" si="582"/>
        <v>12.1395</v>
      </c>
      <c r="BL281" s="30">
        <f t="shared" si="582"/>
        <v>11.6495</v>
      </c>
      <c r="BM281" s="30">
        <f t="shared" si="582"/>
        <v>11.404500000000001</v>
      </c>
      <c r="BN281" s="29">
        <f t="shared" si="582"/>
        <v>11.322833333333334</v>
      </c>
      <c r="BO281" s="85" t="str">
        <f t="shared" si="2"/>
        <v>$$$</v>
      </c>
      <c r="BP281" s="88" t="str">
        <f t="shared" si="583"/>
        <v>$$$</v>
      </c>
      <c r="BQ281" s="88" t="str">
        <f t="shared" si="4"/>
        <v>$$$</v>
      </c>
      <c r="BR281" s="88" t="str">
        <f t="shared" si="5"/>
        <v>$$$</v>
      </c>
      <c r="BS281" s="29" t="e">
        <f t="shared" si="584"/>
        <v>#N/A</v>
      </c>
      <c r="BT281" s="29" t="e">
        <f t="shared" si="584"/>
        <v>#N/A</v>
      </c>
      <c r="BU281" s="29" t="e">
        <f t="shared" si="584"/>
        <v>#N/A</v>
      </c>
      <c r="BV281" s="29" t="e">
        <f t="shared" si="584"/>
        <v>#N/A</v>
      </c>
      <c r="BW281" s="29" t="e">
        <f t="shared" si="584"/>
        <v>#N/A</v>
      </c>
      <c r="BX281" s="29" t="e">
        <f t="shared" si="584"/>
        <v>#N/A</v>
      </c>
      <c r="BY281" s="29" t="e">
        <f t="shared" si="584"/>
        <v>#N/A</v>
      </c>
      <c r="BZ281" s="29" t="e">
        <f t="shared" si="584"/>
        <v>#N/A</v>
      </c>
      <c r="CA281" s="29" t="e">
        <f t="shared" si="584"/>
        <v>#N/A</v>
      </c>
      <c r="CB281" s="29" t="e">
        <f t="shared" si="584"/>
        <v>#N/A</v>
      </c>
      <c r="CC281" s="29" t="e">
        <f t="shared" si="584"/>
        <v>#N/A</v>
      </c>
      <c r="CD281" s="29" t="e">
        <f t="shared" si="584"/>
        <v>#N/A</v>
      </c>
      <c r="CE281" s="6" t="str">
        <f t="shared" si="453"/>
        <v/>
      </c>
      <c r="CF281" s="27" t="e">
        <f>IF(AND(CI281,NOT(AD281)),LOOKUP(CF$5,{0,750,1500},H281:J281),"")</f>
        <v>#N/A</v>
      </c>
      <c r="CG281" s="6" t="str">
        <f t="shared" si="454"/>
        <v/>
      </c>
      <c r="CH281" t="e">
        <f t="shared" si="585"/>
        <v>#N/A</v>
      </c>
      <c r="CI281" t="e">
        <f t="shared" si="586"/>
        <v>#N/A</v>
      </c>
      <c r="CJ281" s="6" t="e">
        <f t="shared" si="11"/>
        <v>#N/A</v>
      </c>
      <c r="CK281" s="6">
        <f t="shared" si="12"/>
        <v>1</v>
      </c>
      <c r="CL281" s="6">
        <f t="shared" si="26"/>
        <v>1</v>
      </c>
      <c r="CM281" s="6">
        <f t="shared" si="13"/>
        <v>1</v>
      </c>
      <c r="CN281" s="6">
        <f t="shared" si="14"/>
        <v>1</v>
      </c>
      <c r="CO281" s="6">
        <f t="shared" si="15"/>
        <v>1</v>
      </c>
      <c r="CP281" s="6">
        <f t="shared" si="16"/>
        <v>1</v>
      </c>
      <c r="CQ281" s="6">
        <f t="shared" si="587"/>
        <v>1</v>
      </c>
      <c r="CR281" s="81" t="str">
        <f t="shared" si="17"/>
        <v/>
      </c>
      <c r="CS281">
        <f t="shared" si="588"/>
        <v>0</v>
      </c>
      <c r="CT281">
        <f t="shared" si="19"/>
        <v>99</v>
      </c>
      <c r="CU281" t="str">
        <f t="shared" si="29"/>
        <v/>
      </c>
      <c r="CV281" s="81">
        <f t="shared" si="589"/>
        <v>99</v>
      </c>
      <c r="CW281" s="81">
        <f>(CV281/25)^1.5*(Calculator!$BU$4/10000)*CW$5</f>
        <v>20.347771207718779</v>
      </c>
      <c r="CX281" t="str">
        <f t="shared" si="590"/>
        <v>$99</v>
      </c>
    </row>
    <row r="282" spans="2:102" x14ac:dyDescent="0.25">
      <c r="B282" s="115" t="s">
        <v>233</v>
      </c>
      <c r="C282" s="13">
        <v>46230.89166666667</v>
      </c>
      <c r="D282">
        <v>29302</v>
      </c>
      <c r="E282" s="54" t="s">
        <v>237</v>
      </c>
      <c r="F282" s="54" t="s">
        <v>681</v>
      </c>
      <c r="G282" s="54" t="s">
        <v>1817</v>
      </c>
      <c r="H282" s="55">
        <v>13.4</v>
      </c>
      <c r="I282" s="55">
        <v>12.9</v>
      </c>
      <c r="J282" s="55">
        <v>12.7</v>
      </c>
      <c r="K282" s="54"/>
      <c r="L282" s="56" t="b">
        <v>0</v>
      </c>
      <c r="M282" s="56" t="b">
        <v>0</v>
      </c>
      <c r="N282" s="54">
        <v>1</v>
      </c>
      <c r="O282" s="54" t="s">
        <v>228</v>
      </c>
      <c r="P282" s="54">
        <v>6</v>
      </c>
      <c r="Q282" s="54">
        <v>12</v>
      </c>
      <c r="R282" s="54">
        <v>99</v>
      </c>
      <c r="S282" s="54" t="s">
        <v>1688</v>
      </c>
      <c r="T282" s="54" t="s">
        <v>1818</v>
      </c>
      <c r="U282" s="54" t="s">
        <v>1678</v>
      </c>
      <c r="V282" s="54" t="s">
        <v>1689</v>
      </c>
      <c r="W282" s="54" t="b">
        <v>0</v>
      </c>
      <c r="X282" s="54"/>
      <c r="Y282" s="57" t="s">
        <v>2010</v>
      </c>
      <c r="Z282" s="54" t="s">
        <v>1690</v>
      </c>
      <c r="AA282" s="54"/>
      <c r="AB282" s="54" t="s">
        <v>1691</v>
      </c>
      <c r="AC282" s="56" t="b">
        <v>0</v>
      </c>
      <c r="AD282" s="56" t="b">
        <v>0</v>
      </c>
      <c r="AE282" s="54" t="s">
        <v>303</v>
      </c>
      <c r="AF282" s="58">
        <v>46230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6.762E-2</v>
      </c>
      <c r="BC282" s="60"/>
      <c r="BD282" s="61"/>
      <c r="BE282" s="62" t="e">
        <v>#N/A</v>
      </c>
      <c r="BF282" s="35">
        <f t="shared" si="579"/>
        <v>4.0600000000000005</v>
      </c>
      <c r="BG282" s="35">
        <f t="shared" si="579"/>
        <v>6.0295000000000001E-2</v>
      </c>
      <c r="BH282" s="35" t="str">
        <f t="shared" si="580"/>
        <v>?</v>
      </c>
      <c r="BI282" s="110">
        <f t="shared" si="581"/>
        <v>0</v>
      </c>
      <c r="BJ282" s="83">
        <f>VLOOKUP($F282,REP_Info!$D$6:$H$250,5,FALSE)</f>
        <v>1.694</v>
      </c>
      <c r="BK282" s="30" t="e">
        <f t="shared" si="582"/>
        <v>#N/A</v>
      </c>
      <c r="BL282" s="30" t="e">
        <f t="shared" si="582"/>
        <v>#N/A</v>
      </c>
      <c r="BM282" s="30" t="e">
        <f t="shared" si="582"/>
        <v>#N/A</v>
      </c>
      <c r="BN282" s="29" t="e">
        <f t="shared" si="582"/>
        <v>#N/A</v>
      </c>
      <c r="BO282" s="85" t="str">
        <f t="shared" si="2"/>
        <v>$$$</v>
      </c>
      <c r="BP282" s="88" t="str">
        <f t="shared" si="583"/>
        <v>$$$</v>
      </c>
      <c r="BQ282" s="88" t="str">
        <f t="shared" si="4"/>
        <v>$$$</v>
      </c>
      <c r="BR282" s="88" t="str">
        <f t="shared" si="5"/>
        <v>$$$</v>
      </c>
      <c r="BS282" s="29" t="e">
        <f t="shared" si="584"/>
        <v>#N/A</v>
      </c>
      <c r="BT282" s="29" t="e">
        <f t="shared" si="584"/>
        <v>#N/A</v>
      </c>
      <c r="BU282" s="29" t="e">
        <f t="shared" si="584"/>
        <v>#N/A</v>
      </c>
      <c r="BV282" s="29" t="e">
        <f t="shared" si="584"/>
        <v>#N/A</v>
      </c>
      <c r="BW282" s="29" t="e">
        <f t="shared" si="584"/>
        <v>#N/A</v>
      </c>
      <c r="BX282" s="29" t="e">
        <f t="shared" si="584"/>
        <v>#N/A</v>
      </c>
      <c r="BY282" s="29" t="e">
        <f t="shared" si="584"/>
        <v>#N/A</v>
      </c>
      <c r="BZ282" s="29" t="e">
        <f t="shared" si="584"/>
        <v>#N/A</v>
      </c>
      <c r="CA282" s="29" t="e">
        <f t="shared" si="584"/>
        <v>#N/A</v>
      </c>
      <c r="CB282" s="29" t="e">
        <f t="shared" si="584"/>
        <v>#N/A</v>
      </c>
      <c r="CC282" s="29" t="e">
        <f t="shared" si="584"/>
        <v>#N/A</v>
      </c>
      <c r="CD282" s="29" t="e">
        <f t="shared" si="584"/>
        <v>#N/A</v>
      </c>
      <c r="CE282" s="6" t="str">
        <f t="shared" si="453"/>
        <v/>
      </c>
      <c r="CF282" s="27" t="e">
        <f>IF(AND(CI282,NOT(AD282)),LOOKUP(CF$5,{0,750,1500},H282:J282),"")</f>
        <v>#N/A</v>
      </c>
      <c r="CG282" s="6" t="str">
        <f t="shared" si="454"/>
        <v/>
      </c>
      <c r="CH282" t="e">
        <f t="shared" si="585"/>
        <v>#N/A</v>
      </c>
      <c r="CI282" t="e">
        <f t="shared" si="586"/>
        <v>#N/A</v>
      </c>
      <c r="CJ282" s="6" t="e">
        <f t="shared" si="11"/>
        <v>#N/A</v>
      </c>
      <c r="CK282" s="6">
        <f t="shared" si="12"/>
        <v>1</v>
      </c>
      <c r="CL282" s="6">
        <f t="shared" si="26"/>
        <v>1</v>
      </c>
      <c r="CM282" s="6">
        <f t="shared" si="13"/>
        <v>1</v>
      </c>
      <c r="CN282" s="6">
        <f t="shared" si="14"/>
        <v>1</v>
      </c>
      <c r="CO282" s="6">
        <f t="shared" si="15"/>
        <v>1</v>
      </c>
      <c r="CP282" s="6">
        <f t="shared" si="16"/>
        <v>1</v>
      </c>
      <c r="CQ282" s="6">
        <f t="shared" si="587"/>
        <v>1</v>
      </c>
      <c r="CR282" s="81" t="str">
        <f t="shared" si="17"/>
        <v/>
      </c>
      <c r="CS282">
        <f t="shared" si="588"/>
        <v>0</v>
      </c>
      <c r="CT282">
        <f t="shared" si="19"/>
        <v>99</v>
      </c>
      <c r="CU282" t="str">
        <f t="shared" si="29"/>
        <v/>
      </c>
      <c r="CV282" s="81">
        <f t="shared" si="589"/>
        <v>99</v>
      </c>
      <c r="CW282" s="81">
        <f>(CV282/25)^1.5*(Calculator!$BU$4/10000)*CW$5</f>
        <v>20.347771207718779</v>
      </c>
      <c r="CX282" t="str">
        <f t="shared" si="590"/>
        <v>$99</v>
      </c>
    </row>
    <row r="283" spans="2:102" x14ac:dyDescent="0.25">
      <c r="B283" s="115" t="s">
        <v>233</v>
      </c>
      <c r="C283" s="13">
        <v>46230.89166666667</v>
      </c>
      <c r="D283">
        <v>29306</v>
      </c>
      <c r="E283" s="54" t="s">
        <v>235</v>
      </c>
      <c r="F283" s="54" t="s">
        <v>681</v>
      </c>
      <c r="G283" s="54" t="s">
        <v>1817</v>
      </c>
      <c r="H283" s="55">
        <v>12.4</v>
      </c>
      <c r="I283" s="55">
        <v>11.899999999999999</v>
      </c>
      <c r="J283" s="55">
        <v>11.700000000000001</v>
      </c>
      <c r="K283" s="54"/>
      <c r="L283" s="56" t="b">
        <v>0</v>
      </c>
      <c r="M283" s="56" t="b">
        <v>0</v>
      </c>
      <c r="N283" s="54">
        <v>1</v>
      </c>
      <c r="O283" s="54" t="s">
        <v>228</v>
      </c>
      <c r="P283" s="54">
        <v>6</v>
      </c>
      <c r="Q283" s="54">
        <v>12</v>
      </c>
      <c r="R283" s="54">
        <v>99</v>
      </c>
      <c r="S283" s="54" t="s">
        <v>1688</v>
      </c>
      <c r="T283" s="54" t="s">
        <v>1818</v>
      </c>
      <c r="U283" s="54" t="s">
        <v>1678</v>
      </c>
      <c r="V283" s="54" t="s">
        <v>1689</v>
      </c>
      <c r="W283" s="54" t="b">
        <v>0</v>
      </c>
      <c r="X283" s="54"/>
      <c r="Y283" s="57" t="s">
        <v>2011</v>
      </c>
      <c r="Z283" s="54" t="s">
        <v>1690</v>
      </c>
      <c r="AA283" s="54"/>
      <c r="AB283" s="54" t="s">
        <v>1691</v>
      </c>
      <c r="AC283" s="56" t="b">
        <v>0</v>
      </c>
      <c r="AD283" s="56" t="b">
        <v>0</v>
      </c>
      <c r="AE283" s="54" t="s">
        <v>303</v>
      </c>
      <c r="AF283" s="58">
        <v>46230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6.6457000000000002E-2</v>
      </c>
      <c r="BC283" s="60"/>
      <c r="BD283" s="61"/>
      <c r="BE283" s="62" t="e">
        <v>#N/A</v>
      </c>
      <c r="BF283" s="35">
        <f t="shared" ref="BF283:BG283" si="591">IF($E283=$E$4,BF$4,IF($E283=$E$5,BF$5,""))</f>
        <v>4.9000000000000004</v>
      </c>
      <c r="BG283" s="35">
        <f t="shared" si="591"/>
        <v>5.1461E-2</v>
      </c>
      <c r="BH283" s="35" t="str">
        <f t="shared" ref="BH283" si="592">IF(ISTEXT(BE283),IF(AND(AV283=0,SUM(AN283:AQ283)=0),IF(AM283&lt;=0,IF(BE283="Y","Low","Flat"),"Med"),"High"),"?")</f>
        <v>?</v>
      </c>
      <c r="BI283" s="110">
        <f t="shared" ref="BI283" si="593">IF(ISNUMBER(AH283),0*BI$5*SIN((EDATE($A$3,$Q283)-DATE(YEAR(EDATE($A$3,$Q283)),1,0)-BI$4)*2*PI()/365),"")</f>
        <v>0</v>
      </c>
      <c r="BJ283" s="83">
        <f>VLOOKUP($F283,REP_Info!$D$6:$H$250,5,FALSE)</f>
        <v>1.694</v>
      </c>
      <c r="BK283" s="30" t="e">
        <f t="shared" ref="BK283:BN283" si="594">IF(BK$7&gt;0,(LOOKUP(BK$7,$AH283:$AL283,$AM283:$AQ283)+IF($AG283="Y",SUMPRODUCT($AX283:$BB283-$AW283:$BA283,BK$7-$AR283:$AV283,N(BK$7&gt;$AR283:$AV283)),BK$7*LOOKUP(BK$7,$AR283:$AV283,$AX283:$BB283))+IF($BE283="Y",$BF283,$BC283)+BK$7*IF($BE283="Y",$BG283,$BD283))*100/BK$7,"")</f>
        <v>#N/A</v>
      </c>
      <c r="BL283" s="30" t="e">
        <f t="shared" si="594"/>
        <v>#N/A</v>
      </c>
      <c r="BM283" s="30" t="e">
        <f t="shared" si="594"/>
        <v>#N/A</v>
      </c>
      <c r="BN283" s="29" t="e">
        <f t="shared" si="594"/>
        <v>#N/A</v>
      </c>
      <c r="BO283" s="85" t="str">
        <f t="shared" si="2"/>
        <v>$$$</v>
      </c>
      <c r="BP283" s="88" t="str">
        <f t="shared" ref="BP283" si="595">IFERROR(BO283*100/BO$5,"$$$")</f>
        <v>$$$</v>
      </c>
      <c r="BQ283" s="88" t="str">
        <f t="shared" si="4"/>
        <v>$$$</v>
      </c>
      <c r="BR283" s="88" t="str">
        <f t="shared" si="5"/>
        <v>$$$</v>
      </c>
      <c r="BS283" s="29" t="e">
        <f t="shared" ref="BS283:CD283" si="596">IF($CI283,IF(BS$7&gt;0,IF(BS$4&gt;$Q283,$BF283+BS$7*(BS$5+$BG283+$BI283),LOOKUP(BS$7,$AH283:$AL283,$AM283:$AQ283)+IF($AG283="Y",SUMPRODUCT($AX283:$BB283-$AW283:$BA283,BS$7-$AR283:$AV283,N(BS$7&gt;$AR283:$AV283)),BS$7*LOOKUP(BS$7,$AR283:$AV283,$AX283:$BB283))+IF($BE283="Y",$BF283,$BC283)+BS$7*IF($BE283="Y",$BG283,$BD283))*100/BS$7,""),NA())</f>
        <v>#N/A</v>
      </c>
      <c r="BT283" s="29" t="e">
        <f t="shared" si="596"/>
        <v>#N/A</v>
      </c>
      <c r="BU283" s="29" t="e">
        <f t="shared" si="596"/>
        <v>#N/A</v>
      </c>
      <c r="BV283" s="29" t="e">
        <f t="shared" si="596"/>
        <v>#N/A</v>
      </c>
      <c r="BW283" s="29" t="e">
        <f t="shared" si="596"/>
        <v>#N/A</v>
      </c>
      <c r="BX283" s="29" t="e">
        <f t="shared" si="596"/>
        <v>#N/A</v>
      </c>
      <c r="BY283" s="29" t="e">
        <f t="shared" si="596"/>
        <v>#N/A</v>
      </c>
      <c r="BZ283" s="29" t="e">
        <f t="shared" si="596"/>
        <v>#N/A</v>
      </c>
      <c r="CA283" s="29" t="e">
        <f t="shared" si="596"/>
        <v>#N/A</v>
      </c>
      <c r="CB283" s="29" t="e">
        <f t="shared" si="596"/>
        <v>#N/A</v>
      </c>
      <c r="CC283" s="29" t="e">
        <f t="shared" si="596"/>
        <v>#N/A</v>
      </c>
      <c r="CD283" s="29" t="e">
        <f t="shared" si="596"/>
        <v>#N/A</v>
      </c>
      <c r="CE283" s="6" t="str">
        <f t="shared" si="453"/>
        <v/>
      </c>
      <c r="CF283" s="27" t="e">
        <f>IF(AND(CI283,NOT(AD283)),LOOKUP(CF$5,{0,750,1500},H283:J283),"")</f>
        <v>#N/A</v>
      </c>
      <c r="CG283" s="6" t="str">
        <f t="shared" si="454"/>
        <v/>
      </c>
      <c r="CH283" t="e">
        <f t="shared" ref="CH283" si="597">IF(CI283,IF(ISNUMBER(BO283),BO283,100000)+CV283/10000+IF(ISNUMBER(BJ283),BJ283,2)/10000-P283/100000+ROW()/10000000,"")</f>
        <v>#N/A</v>
      </c>
      <c r="CI283" t="e">
        <f t="shared" ref="CI283" si="598">PRODUCT(CJ283:CQ283)</f>
        <v>#N/A</v>
      </c>
      <c r="CJ283" s="6" t="e">
        <f t="shared" si="11"/>
        <v>#N/A</v>
      </c>
      <c r="CK283" s="6">
        <f t="shared" si="12"/>
        <v>1</v>
      </c>
      <c r="CL283" s="6">
        <f t="shared" si="26"/>
        <v>1</v>
      </c>
      <c r="CM283" s="6">
        <f t="shared" si="13"/>
        <v>1</v>
      </c>
      <c r="CN283" s="6">
        <f t="shared" si="14"/>
        <v>1</v>
      </c>
      <c r="CO283" s="6">
        <f t="shared" si="15"/>
        <v>1</v>
      </c>
      <c r="CP283" s="6">
        <f t="shared" si="16"/>
        <v>1</v>
      </c>
      <c r="CQ283" s="6">
        <f t="shared" ref="CQ283" si="599">IF(CQ$5="Any",1,IF(AND(CQ$5="Med",AV283=0,SUM(AN283:AQ283)=0),1,IF(AND(CQ$5="Low",AV283=0,SUM(AN283:AQ283)=0,AM283=0),1,IF(AND(CQ$5="Flat",AV283=0,SUM(AN283:AQ283)=0,AM283=0,IFERROR(NOT(BE283="Y"),0)),1,0))))</f>
        <v>1</v>
      </c>
      <c r="CR283" s="81" t="str">
        <f t="shared" si="17"/>
        <v/>
      </c>
      <c r="CS283">
        <f t="shared" ref="CS283" si="600">CS$5*(12/(MIN(12,Q283))-1)</f>
        <v>0</v>
      </c>
      <c r="CT283">
        <f t="shared" si="19"/>
        <v>99</v>
      </c>
      <c r="CU283" t="str">
        <f t="shared" si="29"/>
        <v/>
      </c>
      <c r="CV283" s="81">
        <f t="shared" ref="CV283" si="601">CT283*IF(CU283="",1,Q283)</f>
        <v>99</v>
      </c>
      <c r="CW283" s="81">
        <f>(CV283/25)^1.5*(Calculator!$BU$4/10000)*CW$5</f>
        <v>20.347771207718779</v>
      </c>
      <c r="CX283" t="str">
        <f t="shared" ref="CX283" si="602">"$"&amp;IF(LEFT(CU283,1)="r",CT283&amp;"/"&amp;CU283,CV283)</f>
        <v>$99</v>
      </c>
    </row>
    <row r="284" spans="2:102" x14ac:dyDescent="0.25">
      <c r="B284" s="115" t="s">
        <v>233</v>
      </c>
      <c r="C284" s="13">
        <v>46230.89166666667</v>
      </c>
      <c r="D284">
        <v>29320</v>
      </c>
      <c r="E284" s="54" t="s">
        <v>235</v>
      </c>
      <c r="F284" s="54" t="s">
        <v>681</v>
      </c>
      <c r="G284" s="54" t="s">
        <v>1915</v>
      </c>
      <c r="H284" s="55">
        <v>11.899999999999999</v>
      </c>
      <c r="I284" s="55">
        <v>10.9</v>
      </c>
      <c r="J284" s="55">
        <v>10.5</v>
      </c>
      <c r="K284" s="54"/>
      <c r="L284" s="56" t="b">
        <v>0</v>
      </c>
      <c r="M284" s="56" t="b">
        <v>0</v>
      </c>
      <c r="N284" s="54">
        <v>1</v>
      </c>
      <c r="O284" s="54" t="s">
        <v>228</v>
      </c>
      <c r="P284" s="54">
        <v>6</v>
      </c>
      <c r="Q284" s="54">
        <v>5</v>
      </c>
      <c r="R284" s="54">
        <v>249</v>
      </c>
      <c r="S284" s="54" t="s">
        <v>1688</v>
      </c>
      <c r="T284" s="54"/>
      <c r="U284" s="54" t="s">
        <v>1678</v>
      </c>
      <c r="V284" s="54" t="s">
        <v>1689</v>
      </c>
      <c r="W284" s="54" t="b">
        <v>0</v>
      </c>
      <c r="X284" s="54"/>
      <c r="Y284" s="57" t="s">
        <v>2012</v>
      </c>
      <c r="Z284" s="54"/>
      <c r="AA284" s="54"/>
      <c r="AB284" s="54" t="s">
        <v>1691</v>
      </c>
      <c r="AC284" s="56" t="b">
        <v>1</v>
      </c>
      <c r="AD284" s="56" t="b">
        <v>0</v>
      </c>
      <c r="AE284" s="54" t="s">
        <v>303</v>
      </c>
      <c r="AF284" s="58">
        <v>46230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4.8183999999999998E-2</v>
      </c>
      <c r="BC284" s="60"/>
      <c r="BD284" s="61"/>
      <c r="BE284" s="62" t="s">
        <v>293</v>
      </c>
      <c r="BF284" s="35">
        <f t="shared" ref="BF284:BG301" si="603">IF($E284=$E$4,BF$4,IF($E284=$E$5,BF$5,""))</f>
        <v>4.9000000000000004</v>
      </c>
      <c r="BG284" s="35">
        <f t="shared" si="603"/>
        <v>5.1461E-2</v>
      </c>
      <c r="BH284" s="35" t="str">
        <f t="shared" ref="BH284:BH301" si="604">IF(ISTEXT(BE284),IF(AND(AV284=0,SUM(AN284:AQ284)=0),IF(AM284&lt;=0,IF(BE284="Y","Low","Flat"),"Med"),"High"),"?")</f>
        <v>Med</v>
      </c>
      <c r="BI284" s="110">
        <f t="shared" ref="BI284:BI301" si="605">IF(ISNUMBER(AH284),0*BI$5*SIN((EDATE($A$3,$Q284)-DATE(YEAR(EDATE($A$3,$Q284)),1,0)-BI$4)*2*PI()/365),"")</f>
        <v>0</v>
      </c>
      <c r="BJ284" s="83">
        <f>VLOOKUP($F284,REP_Info!$D$6:$H$250,5,FALSE)</f>
        <v>1.694</v>
      </c>
      <c r="BK284" s="30">
        <f t="shared" ref="BK284:BN301" si="606">IF(BK$7&gt;0,(LOOKUP(BK$7,$AH284:$AL284,$AM284:$AQ284)+IF($AG284="Y",SUMPRODUCT($AX284:$BB284-$AW284:$BA284,BK$7-$AR284:$AV284,N(BK$7&gt;$AR284:$AV284)),BK$7*LOOKUP(BK$7,$AR284:$AV284,$AX284:$BB284))+IF($BE284="Y",$BF284,$BC284)+BK$7*IF($BE284="Y",$BG284,$BD284))*100/BK$7,"")</f>
        <v>11.9345</v>
      </c>
      <c r="BL284" s="30">
        <f t="shared" si="606"/>
        <v>10.9495</v>
      </c>
      <c r="BM284" s="30">
        <f t="shared" si="606"/>
        <v>10.457000000000001</v>
      </c>
      <c r="BN284" s="29">
        <f t="shared" si="606"/>
        <v>10.292833333333332</v>
      </c>
      <c r="BO284" s="85" t="str">
        <f t="shared" si="2"/>
        <v>$$$</v>
      </c>
      <c r="BP284" s="88" t="str">
        <f t="shared" ref="BP284:BP301" si="607">IFERROR(BO284*100/BO$5,"$$$")</f>
        <v>$$$</v>
      </c>
      <c r="BQ284" s="88" t="str">
        <f t="shared" si="4"/>
        <v>$$$</v>
      </c>
      <c r="BR284" s="88" t="str">
        <f t="shared" si="5"/>
        <v>$$$</v>
      </c>
      <c r="BS284" s="29" t="e">
        <f t="shared" ref="BS284:CD301" si="608">IF($CI284,IF(BS$7&gt;0,IF(BS$4&gt;$Q284,$BF284+BS$7*(BS$5+$BG284+$BI284),LOOKUP(BS$7,$AH284:$AL284,$AM284:$AQ284)+IF($AG284="Y",SUMPRODUCT($AX284:$BB284-$AW284:$BA284,BS$7-$AR284:$AV284,N(BS$7&gt;$AR284:$AV284)),BS$7*LOOKUP(BS$7,$AR284:$AV284,$AX284:$BB284))+IF($BE284="Y",$BF284,$BC284)+BS$7*IF($BE284="Y",$BG284,$BD284))*100/BS$7,""),NA())</f>
        <v>#N/A</v>
      </c>
      <c r="BT284" s="29" t="e">
        <f t="shared" si="608"/>
        <v>#N/A</v>
      </c>
      <c r="BU284" s="29" t="e">
        <f t="shared" si="608"/>
        <v>#N/A</v>
      </c>
      <c r="BV284" s="29" t="e">
        <f t="shared" si="608"/>
        <v>#N/A</v>
      </c>
      <c r="BW284" s="29" t="e">
        <f t="shared" si="608"/>
        <v>#N/A</v>
      </c>
      <c r="BX284" s="29" t="e">
        <f t="shared" si="608"/>
        <v>#N/A</v>
      </c>
      <c r="BY284" s="29" t="e">
        <f t="shared" si="608"/>
        <v>#N/A</v>
      </c>
      <c r="BZ284" s="29" t="e">
        <f t="shared" si="608"/>
        <v>#N/A</v>
      </c>
      <c r="CA284" s="29" t="e">
        <f t="shared" si="608"/>
        <v>#N/A</v>
      </c>
      <c r="CB284" s="29" t="e">
        <f t="shared" si="608"/>
        <v>#N/A</v>
      </c>
      <c r="CC284" s="29" t="e">
        <f t="shared" si="608"/>
        <v>#N/A</v>
      </c>
      <c r="CD284" s="29" t="e">
        <f t="shared" si="608"/>
        <v>#N/A</v>
      </c>
      <c r="CE284" s="6" t="str">
        <f t="shared" si="453"/>
        <v/>
      </c>
      <c r="CF284" s="27" t="e">
        <f>IF(AND(CI284,NOT(AD284)),LOOKUP(CF$5,{0,750,1500},H284:J284),"")</f>
        <v>#N/A</v>
      </c>
      <c r="CG284" s="6" t="str">
        <f t="shared" si="454"/>
        <v/>
      </c>
      <c r="CH284" t="e">
        <f t="shared" ref="CH284:CH301" si="609">IF(CI284,IF(ISNUMBER(BO284),BO284,100000)+CV284/10000+IF(ISNUMBER(BJ284),BJ284,2)/10000-P284/100000+ROW()/10000000,"")</f>
        <v>#N/A</v>
      </c>
      <c r="CI284" t="e">
        <f t="shared" ref="CI284:CI301" si="610">PRODUCT(CJ284:CQ284)</f>
        <v>#N/A</v>
      </c>
      <c r="CJ284" s="6" t="e">
        <f t="shared" si="11"/>
        <v>#N/A</v>
      </c>
      <c r="CK284" s="6">
        <f t="shared" si="12"/>
        <v>1</v>
      </c>
      <c r="CL284" s="6">
        <f t="shared" si="26"/>
        <v>1</v>
      </c>
      <c r="CM284" s="6">
        <f t="shared" si="13"/>
        <v>1</v>
      </c>
      <c r="CN284" s="6">
        <f t="shared" si="14"/>
        <v>0</v>
      </c>
      <c r="CO284" s="6">
        <f t="shared" si="15"/>
        <v>1</v>
      </c>
      <c r="CP284" s="6">
        <f t="shared" si="16"/>
        <v>1</v>
      </c>
      <c r="CQ284" s="6">
        <f t="shared" ref="CQ284:CQ301" si="611">IF(CQ$5="Any",1,IF(AND(CQ$5="Med",AV284=0,SUM(AN284:AQ284)=0),1,IF(AND(CQ$5="Low",AV284=0,SUM(AN284:AQ284)=0,AM284=0),1,IF(AND(CQ$5="Flat",AV284=0,SUM(AN284:AQ284)=0,AM284=0,IFERROR(NOT(BE284="Y"),0)),1,0))))</f>
        <v>1</v>
      </c>
      <c r="CR284" s="81" t="str">
        <f t="shared" si="17"/>
        <v/>
      </c>
      <c r="CS284">
        <f t="shared" ref="CS284:CS301" si="612">CS$5*(12/(MIN(12,Q284))-1)</f>
        <v>25.2</v>
      </c>
      <c r="CT284">
        <f>IF(OR(LEFT($R284,2)="No",LEFT($R284,4)="Batt"),0,VALUE(IFERROR(LEFT($R284,FIND("/",$R284)-1),IFERROR(LEFT($R284,FIND(" ",$R284)-1),$R284))))</f>
        <v>249</v>
      </c>
      <c r="CU284" t="str">
        <f t="shared" si="29"/>
        <v/>
      </c>
      <c r="CV284" s="81">
        <f t="shared" ref="CV284:CV301" si="613">CT284*IF(CU284="",1,Q284)</f>
        <v>249</v>
      </c>
      <c r="CW284" s="81">
        <f>(CV284/25)^1.5*(Calculator!$BU$4/10000)*CW$5</f>
        <v>81.163931279939632</v>
      </c>
      <c r="CX284" t="str">
        <f t="shared" ref="CX284:CX301" si="614">"$"&amp;IF(LEFT(CU284,1)="r",CT284&amp;"/"&amp;CU284,CV284)</f>
        <v>$249</v>
      </c>
    </row>
    <row r="285" spans="2:102" x14ac:dyDescent="0.25">
      <c r="B285" s="115" t="s">
        <v>233</v>
      </c>
      <c r="C285" s="13">
        <v>46230.89166666667</v>
      </c>
      <c r="D285">
        <v>29322</v>
      </c>
      <c r="E285" s="54" t="s">
        <v>237</v>
      </c>
      <c r="F285" s="54" t="s">
        <v>681</v>
      </c>
      <c r="G285" s="54" t="s">
        <v>1915</v>
      </c>
      <c r="H285" s="55">
        <v>12.9</v>
      </c>
      <c r="I285" s="55">
        <v>11.899999999999999</v>
      </c>
      <c r="J285" s="55">
        <v>11.5</v>
      </c>
      <c r="K285" s="54"/>
      <c r="L285" s="56" t="b">
        <v>0</v>
      </c>
      <c r="M285" s="56" t="b">
        <v>0</v>
      </c>
      <c r="N285" s="54">
        <v>1</v>
      </c>
      <c r="O285" s="54" t="s">
        <v>228</v>
      </c>
      <c r="P285" s="54">
        <v>6</v>
      </c>
      <c r="Q285" s="54">
        <v>5</v>
      </c>
      <c r="R285" s="54">
        <v>249</v>
      </c>
      <c r="S285" s="54" t="s">
        <v>1688</v>
      </c>
      <c r="T285" s="54"/>
      <c r="U285" s="54" t="s">
        <v>1678</v>
      </c>
      <c r="V285" s="54" t="s">
        <v>1689</v>
      </c>
      <c r="W285" s="54" t="b">
        <v>0</v>
      </c>
      <c r="X285" s="54"/>
      <c r="Y285" s="57" t="s">
        <v>2013</v>
      </c>
      <c r="Z285" s="54"/>
      <c r="AA285" s="54"/>
      <c r="AB285" s="54" t="s">
        <v>1691</v>
      </c>
      <c r="AC285" s="56" t="b">
        <v>0</v>
      </c>
      <c r="AD285" s="56" t="b">
        <v>0</v>
      </c>
      <c r="AE285" s="54" t="s">
        <v>303</v>
      </c>
      <c r="AF285" s="58">
        <v>46230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4.9288999999999999E-2</v>
      </c>
      <c r="BC285" s="60"/>
      <c r="BD285" s="61"/>
      <c r="BE285" s="62" t="s">
        <v>293</v>
      </c>
      <c r="BF285" s="35">
        <f t="shared" si="603"/>
        <v>4.0600000000000005</v>
      </c>
      <c r="BG285" s="35">
        <f t="shared" si="603"/>
        <v>6.0295000000000001E-2</v>
      </c>
      <c r="BH285" s="35" t="str">
        <f t="shared" si="604"/>
        <v>Med</v>
      </c>
      <c r="BI285" s="110">
        <f t="shared" si="605"/>
        <v>0</v>
      </c>
      <c r="BJ285" s="83">
        <f>VLOOKUP($F285,REP_Info!$D$6:$H$250,5,FALSE)</f>
        <v>1.694</v>
      </c>
      <c r="BK285" s="30">
        <f t="shared" si="606"/>
        <v>12.760399999999999</v>
      </c>
      <c r="BL285" s="30">
        <f t="shared" si="606"/>
        <v>11.859400000000001</v>
      </c>
      <c r="BM285" s="30">
        <f t="shared" si="606"/>
        <v>11.408899999999999</v>
      </c>
      <c r="BN285" s="29">
        <f t="shared" si="606"/>
        <v>11.258733333333332</v>
      </c>
      <c r="BO285" s="85" t="str">
        <f t="shared" si="2"/>
        <v>$$$</v>
      </c>
      <c r="BP285" s="88" t="str">
        <f t="shared" si="607"/>
        <v>$$$</v>
      </c>
      <c r="BQ285" s="88" t="str">
        <f t="shared" si="4"/>
        <v>$$$</v>
      </c>
      <c r="BR285" s="88" t="str">
        <f t="shared" si="5"/>
        <v>$$$</v>
      </c>
      <c r="BS285" s="29" t="e">
        <f t="shared" si="608"/>
        <v>#N/A</v>
      </c>
      <c r="BT285" s="29" t="e">
        <f t="shared" si="608"/>
        <v>#N/A</v>
      </c>
      <c r="BU285" s="29" t="e">
        <f t="shared" si="608"/>
        <v>#N/A</v>
      </c>
      <c r="BV285" s="29" t="e">
        <f t="shared" si="608"/>
        <v>#N/A</v>
      </c>
      <c r="BW285" s="29" t="e">
        <f t="shared" si="608"/>
        <v>#N/A</v>
      </c>
      <c r="BX285" s="29" t="e">
        <f t="shared" si="608"/>
        <v>#N/A</v>
      </c>
      <c r="BY285" s="29" t="e">
        <f t="shared" si="608"/>
        <v>#N/A</v>
      </c>
      <c r="BZ285" s="29" t="e">
        <f t="shared" si="608"/>
        <v>#N/A</v>
      </c>
      <c r="CA285" s="29" t="e">
        <f t="shared" si="608"/>
        <v>#N/A</v>
      </c>
      <c r="CB285" s="29" t="e">
        <f t="shared" si="608"/>
        <v>#N/A</v>
      </c>
      <c r="CC285" s="29" t="e">
        <f t="shared" si="608"/>
        <v>#N/A</v>
      </c>
      <c r="CD285" s="29" t="e">
        <f t="shared" si="608"/>
        <v>#N/A</v>
      </c>
      <c r="CE285" s="6" t="str">
        <f t="shared" si="453"/>
        <v/>
      </c>
      <c r="CF285" s="27" t="e">
        <f>IF(AND(CI285,NOT(AD285)),LOOKUP(CF$5,{0,750,1500},H285:J285),"")</f>
        <v>#N/A</v>
      </c>
      <c r="CG285" s="6" t="str">
        <f t="shared" si="454"/>
        <v/>
      </c>
      <c r="CH285" t="e">
        <f t="shared" si="609"/>
        <v>#N/A</v>
      </c>
      <c r="CI285" t="e">
        <f t="shared" si="610"/>
        <v>#N/A</v>
      </c>
      <c r="CJ285" s="6" t="e">
        <f t="shared" si="11"/>
        <v>#N/A</v>
      </c>
      <c r="CK285" s="6">
        <f t="shared" si="12"/>
        <v>1</v>
      </c>
      <c r="CL285" s="6">
        <f t="shared" si="26"/>
        <v>1</v>
      </c>
      <c r="CM285" s="6">
        <f t="shared" si="13"/>
        <v>1</v>
      </c>
      <c r="CN285" s="6">
        <f t="shared" si="14"/>
        <v>0</v>
      </c>
      <c r="CO285" s="6">
        <f t="shared" si="15"/>
        <v>1</v>
      </c>
      <c r="CP285" s="6">
        <f t="shared" si="16"/>
        <v>1</v>
      </c>
      <c r="CQ285" s="6">
        <f t="shared" si="611"/>
        <v>1</v>
      </c>
      <c r="CR285" s="81" t="str">
        <f t="shared" si="17"/>
        <v/>
      </c>
      <c r="CS285">
        <f t="shared" si="612"/>
        <v>25.2</v>
      </c>
      <c r="CT285">
        <f t="shared" ref="CT285:CT346" si="615">IF(OR(LEFT($R285,2)="No",LEFT($R285,4)="Batt"),0,VALUE(IFERROR(LEFT($R285,FIND("/",$R285)-1),IFERROR(LEFT($R285,FIND(" ",$R285)-1),$R285))))</f>
        <v>249</v>
      </c>
      <c r="CU285" t="str">
        <f t="shared" si="29"/>
        <v/>
      </c>
      <c r="CV285" s="81">
        <f t="shared" si="613"/>
        <v>249</v>
      </c>
      <c r="CW285" s="81">
        <f>(CV285/25)^1.5*(Calculator!$BU$4/10000)*CW$5</f>
        <v>81.163931279939632</v>
      </c>
      <c r="CX285" t="str">
        <f t="shared" si="614"/>
        <v>$249</v>
      </c>
    </row>
    <row r="286" spans="2:102" x14ac:dyDescent="0.25">
      <c r="B286" s="115" t="s">
        <v>233</v>
      </c>
      <c r="C286" s="13">
        <v>46200.622916666667</v>
      </c>
      <c r="D286">
        <v>29339</v>
      </c>
      <c r="E286" s="54" t="s">
        <v>237</v>
      </c>
      <c r="F286" s="54" t="s">
        <v>681</v>
      </c>
      <c r="G286" s="54" t="s">
        <v>1766</v>
      </c>
      <c r="H286" s="55">
        <v>15.1</v>
      </c>
      <c r="I286" s="55">
        <v>14.099999999999998</v>
      </c>
      <c r="J286" s="55">
        <v>13.700000000000001</v>
      </c>
      <c r="K286" s="54"/>
      <c r="L286" s="56" t="b">
        <v>0</v>
      </c>
      <c r="M286" s="56" t="b">
        <v>0</v>
      </c>
      <c r="N286" s="54">
        <v>1</v>
      </c>
      <c r="O286" s="54" t="s">
        <v>228</v>
      </c>
      <c r="P286" s="54">
        <v>6</v>
      </c>
      <c r="Q286" s="54">
        <v>36</v>
      </c>
      <c r="R286" s="54">
        <v>249</v>
      </c>
      <c r="S286" s="54" t="s">
        <v>1688</v>
      </c>
      <c r="T286" s="54" t="s">
        <v>1683</v>
      </c>
      <c r="U286" s="54" t="s">
        <v>1678</v>
      </c>
      <c r="V286" s="54" t="s">
        <v>1689</v>
      </c>
      <c r="W286" s="54" t="b">
        <v>0</v>
      </c>
      <c r="X286" s="54"/>
      <c r="Y286" s="57" t="s">
        <v>1767</v>
      </c>
      <c r="Z286" s="54" t="s">
        <v>1692</v>
      </c>
      <c r="AA286" s="54"/>
      <c r="AB286" s="54" t="s">
        <v>1691</v>
      </c>
      <c r="AC286" s="56" t="b">
        <v>1</v>
      </c>
      <c r="AD286" s="56" t="b">
        <v>0</v>
      </c>
      <c r="AE286" s="54" t="s">
        <v>303</v>
      </c>
      <c r="AF286" s="58">
        <v>46174</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7.1289000000000005E-2</v>
      </c>
      <c r="BC286" s="60"/>
      <c r="BD286" s="61"/>
      <c r="BE286" s="62" t="s">
        <v>293</v>
      </c>
      <c r="BF286" s="35">
        <f t="shared" si="603"/>
        <v>4.0600000000000005</v>
      </c>
      <c r="BG286" s="35">
        <f t="shared" si="603"/>
        <v>6.0295000000000001E-2</v>
      </c>
      <c r="BH286" s="35" t="str">
        <f t="shared" si="604"/>
        <v>Med</v>
      </c>
      <c r="BI286" s="110">
        <f t="shared" si="605"/>
        <v>0</v>
      </c>
      <c r="BJ286" s="83">
        <f>VLOOKUP($F286,REP_Info!$D$6:$H$250,5,FALSE)</f>
        <v>1.694</v>
      </c>
      <c r="BK286" s="30">
        <f t="shared" si="606"/>
        <v>14.960400000000002</v>
      </c>
      <c r="BL286" s="30">
        <f t="shared" si="606"/>
        <v>14.0594</v>
      </c>
      <c r="BM286" s="30">
        <f t="shared" si="606"/>
        <v>13.6089</v>
      </c>
      <c r="BN286" s="29">
        <f t="shared" si="606"/>
        <v>13.458733333333333</v>
      </c>
      <c r="BO286" s="85" t="str">
        <f t="shared" si="2"/>
        <v>$$$</v>
      </c>
      <c r="BP286" s="88" t="str">
        <f t="shared" si="607"/>
        <v>$$$</v>
      </c>
      <c r="BQ286" s="88" t="str">
        <f t="shared" si="4"/>
        <v>$$$</v>
      </c>
      <c r="BR286" s="88" t="str">
        <f t="shared" si="5"/>
        <v>$$$</v>
      </c>
      <c r="BS286" s="29" t="e">
        <f t="shared" si="608"/>
        <v>#N/A</v>
      </c>
      <c r="BT286" s="29" t="e">
        <f t="shared" si="608"/>
        <v>#N/A</v>
      </c>
      <c r="BU286" s="29" t="e">
        <f t="shared" si="608"/>
        <v>#N/A</v>
      </c>
      <c r="BV286" s="29" t="e">
        <f t="shared" si="608"/>
        <v>#N/A</v>
      </c>
      <c r="BW286" s="29" t="e">
        <f t="shared" si="608"/>
        <v>#N/A</v>
      </c>
      <c r="BX286" s="29" t="e">
        <f t="shared" si="608"/>
        <v>#N/A</v>
      </c>
      <c r="BY286" s="29" t="e">
        <f t="shared" si="608"/>
        <v>#N/A</v>
      </c>
      <c r="BZ286" s="29" t="e">
        <f t="shared" si="608"/>
        <v>#N/A</v>
      </c>
      <c r="CA286" s="29" t="e">
        <f t="shared" si="608"/>
        <v>#N/A</v>
      </c>
      <c r="CB286" s="29" t="e">
        <f t="shared" si="608"/>
        <v>#N/A</v>
      </c>
      <c r="CC286" s="29" t="e">
        <f t="shared" si="608"/>
        <v>#N/A</v>
      </c>
      <c r="CD286" s="29" t="e">
        <f t="shared" si="608"/>
        <v>#N/A</v>
      </c>
      <c r="CE286" s="6" t="str">
        <f t="shared" si="453"/>
        <v/>
      </c>
      <c r="CF286" s="27" t="e">
        <f>IF(AND(CI286,NOT(AD286)),LOOKUP(CF$5,{0,750,1500},H286:J286),"")</f>
        <v>#N/A</v>
      </c>
      <c r="CG286" s="6" t="str">
        <f t="shared" si="454"/>
        <v/>
      </c>
      <c r="CH286" t="e">
        <f t="shared" si="609"/>
        <v>#N/A</v>
      </c>
      <c r="CI286" t="e">
        <f t="shared" si="610"/>
        <v>#N/A</v>
      </c>
      <c r="CJ286" s="6" t="e">
        <f t="shared" si="11"/>
        <v>#N/A</v>
      </c>
      <c r="CK286" s="6">
        <f t="shared" si="12"/>
        <v>1</v>
      </c>
      <c r="CL286" s="6">
        <f t="shared" si="26"/>
        <v>1</v>
      </c>
      <c r="CM286" s="6">
        <f t="shared" si="13"/>
        <v>1</v>
      </c>
      <c r="CN286" s="6">
        <f t="shared" si="14"/>
        <v>1</v>
      </c>
      <c r="CO286" s="6">
        <f t="shared" si="15"/>
        <v>0</v>
      </c>
      <c r="CP286" s="6">
        <f t="shared" si="16"/>
        <v>1</v>
      </c>
      <c r="CQ286" s="6">
        <f t="shared" si="611"/>
        <v>1</v>
      </c>
      <c r="CR286" s="81" t="str">
        <f t="shared" si="17"/>
        <v/>
      </c>
      <c r="CS286">
        <f t="shared" si="612"/>
        <v>0</v>
      </c>
      <c r="CT286">
        <f t="shared" si="615"/>
        <v>249</v>
      </c>
      <c r="CU286" t="str">
        <f t="shared" si="29"/>
        <v/>
      </c>
      <c r="CV286" s="81">
        <f t="shared" si="613"/>
        <v>249</v>
      </c>
      <c r="CW286" s="81">
        <f>(CV286/25)^1.5*(Calculator!$BU$4/10000)*CW$5</f>
        <v>81.163931279939632</v>
      </c>
      <c r="CX286" t="str">
        <f t="shared" si="614"/>
        <v>$249</v>
      </c>
    </row>
    <row r="287" spans="2:102" x14ac:dyDescent="0.25">
      <c r="B287" s="115" t="s">
        <v>233</v>
      </c>
      <c r="C287" s="13">
        <v>46236.341666666667</v>
      </c>
      <c r="D287">
        <v>29342</v>
      </c>
      <c r="E287" s="54" t="s">
        <v>235</v>
      </c>
      <c r="F287" s="54" t="s">
        <v>681</v>
      </c>
      <c r="G287" s="54" t="s">
        <v>1766</v>
      </c>
      <c r="H287" s="55">
        <v>14.399999999999999</v>
      </c>
      <c r="I287" s="55">
        <v>13.4</v>
      </c>
      <c r="J287" s="55">
        <v>12.9</v>
      </c>
      <c r="K287" s="54"/>
      <c r="L287" s="56" t="b">
        <v>0</v>
      </c>
      <c r="M287" s="56" t="b">
        <v>0</v>
      </c>
      <c r="N287" s="54">
        <v>1</v>
      </c>
      <c r="O287" s="54" t="s">
        <v>228</v>
      </c>
      <c r="P287" s="54">
        <v>6</v>
      </c>
      <c r="Q287" s="54">
        <v>36</v>
      </c>
      <c r="R287" s="54">
        <v>249</v>
      </c>
      <c r="S287" s="54" t="s">
        <v>1688</v>
      </c>
      <c r="T287" s="54" t="s">
        <v>1683</v>
      </c>
      <c r="U287" s="54" t="s">
        <v>1678</v>
      </c>
      <c r="V287" s="54" t="s">
        <v>1689</v>
      </c>
      <c r="W287" s="54" t="b">
        <v>0</v>
      </c>
      <c r="X287" s="54"/>
      <c r="Y287" s="57" t="s">
        <v>2183</v>
      </c>
      <c r="Z287" s="54" t="s">
        <v>1692</v>
      </c>
      <c r="AA287" s="54"/>
      <c r="AB287" s="54" t="s">
        <v>1691</v>
      </c>
      <c r="AC287" s="56" t="b">
        <v>1</v>
      </c>
      <c r="AD287" s="56" t="b">
        <v>0</v>
      </c>
      <c r="AE287" s="54" t="s">
        <v>303</v>
      </c>
      <c r="AF287" s="58">
        <v>46216</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7.3108999999999993E-2</v>
      </c>
      <c r="BC287" s="60"/>
      <c r="BD287" s="61"/>
      <c r="BE287" s="62" t="s">
        <v>293</v>
      </c>
      <c r="BF287" s="35">
        <f t="shared" si="603"/>
        <v>4.9000000000000004</v>
      </c>
      <c r="BG287" s="35">
        <f t="shared" si="603"/>
        <v>5.1461E-2</v>
      </c>
      <c r="BH287" s="35" t="str">
        <f t="shared" si="604"/>
        <v>Med</v>
      </c>
      <c r="BI287" s="110">
        <f t="shared" si="605"/>
        <v>0</v>
      </c>
      <c r="BJ287" s="83">
        <f>VLOOKUP($F287,REP_Info!$D$6:$H$250,5,FALSE)</f>
        <v>1.694</v>
      </c>
      <c r="BK287" s="30">
        <f t="shared" si="606"/>
        <v>14.426999999999998</v>
      </c>
      <c r="BL287" s="30">
        <f t="shared" si="606"/>
        <v>13.442000000000002</v>
      </c>
      <c r="BM287" s="30">
        <f t="shared" si="606"/>
        <v>12.9495</v>
      </c>
      <c r="BN287" s="29">
        <f t="shared" si="606"/>
        <v>12.78533333333333</v>
      </c>
      <c r="BO287" s="85" t="str">
        <f t="shared" si="2"/>
        <v>$$$</v>
      </c>
      <c r="BP287" s="88" t="str">
        <f t="shared" si="607"/>
        <v>$$$</v>
      </c>
      <c r="BQ287" s="88" t="str">
        <f t="shared" si="4"/>
        <v>$$$</v>
      </c>
      <c r="BR287" s="88" t="str">
        <f t="shared" si="5"/>
        <v>$$$</v>
      </c>
      <c r="BS287" s="29" t="e">
        <f t="shared" si="608"/>
        <v>#N/A</v>
      </c>
      <c r="BT287" s="29" t="e">
        <f t="shared" si="608"/>
        <v>#N/A</v>
      </c>
      <c r="BU287" s="29" t="e">
        <f t="shared" si="608"/>
        <v>#N/A</v>
      </c>
      <c r="BV287" s="29" t="e">
        <f t="shared" si="608"/>
        <v>#N/A</v>
      </c>
      <c r="BW287" s="29" t="e">
        <f t="shared" si="608"/>
        <v>#N/A</v>
      </c>
      <c r="BX287" s="29" t="e">
        <f t="shared" si="608"/>
        <v>#N/A</v>
      </c>
      <c r="BY287" s="29" t="e">
        <f t="shared" si="608"/>
        <v>#N/A</v>
      </c>
      <c r="BZ287" s="29" t="e">
        <f t="shared" si="608"/>
        <v>#N/A</v>
      </c>
      <c r="CA287" s="29" t="e">
        <f t="shared" si="608"/>
        <v>#N/A</v>
      </c>
      <c r="CB287" s="29" t="e">
        <f t="shared" si="608"/>
        <v>#N/A</v>
      </c>
      <c r="CC287" s="29" t="e">
        <f t="shared" si="608"/>
        <v>#N/A</v>
      </c>
      <c r="CD287" s="29" t="e">
        <f t="shared" si="608"/>
        <v>#N/A</v>
      </c>
      <c r="CE287" s="6" t="str">
        <f t="shared" si="453"/>
        <v/>
      </c>
      <c r="CF287" s="27" t="e">
        <f>IF(AND(CI287,NOT(AD287)),LOOKUP(CF$5,{0,750,1500},H287:J287),"")</f>
        <v>#N/A</v>
      </c>
      <c r="CG287" s="6" t="str">
        <f t="shared" si="454"/>
        <v/>
      </c>
      <c r="CH287" t="e">
        <f>IF(CI287,IF(ISNUMBER(BO287),BO287,100000)+CV287/10000+IF(ISNUMBER(BJ287),BJ287,2)/10000-P287/100000+ROW()/10000000,"")</f>
        <v>#N/A</v>
      </c>
      <c r="CI287" t="e">
        <f t="shared" si="610"/>
        <v>#N/A</v>
      </c>
      <c r="CJ287" s="6" t="e">
        <f t="shared" si="11"/>
        <v>#N/A</v>
      </c>
      <c r="CK287" s="6">
        <f t="shared" si="12"/>
        <v>1</v>
      </c>
      <c r="CL287" s="6">
        <f t="shared" si="26"/>
        <v>1</v>
      </c>
      <c r="CM287" s="6">
        <f t="shared" si="13"/>
        <v>1</v>
      </c>
      <c r="CN287" s="6">
        <f t="shared" si="14"/>
        <v>1</v>
      </c>
      <c r="CO287" s="6">
        <f t="shared" si="15"/>
        <v>0</v>
      </c>
      <c r="CP287" s="6">
        <f t="shared" si="16"/>
        <v>1</v>
      </c>
      <c r="CQ287" s="6">
        <f t="shared" si="611"/>
        <v>1</v>
      </c>
      <c r="CR287" s="81" t="str">
        <f t="shared" si="17"/>
        <v/>
      </c>
      <c r="CS287">
        <f t="shared" si="612"/>
        <v>0</v>
      </c>
      <c r="CT287">
        <f t="shared" si="615"/>
        <v>249</v>
      </c>
      <c r="CU287" t="str">
        <f t="shared" si="29"/>
        <v/>
      </c>
      <c r="CV287" s="81">
        <f t="shared" si="613"/>
        <v>249</v>
      </c>
      <c r="CW287" s="81">
        <f>(CV287/25)^1.5*(Calculator!$BU$4/10000)*CW$5</f>
        <v>81.163931279939632</v>
      </c>
      <c r="CX287" t="str">
        <f t="shared" si="614"/>
        <v>$249</v>
      </c>
    </row>
    <row r="288" spans="2:102" x14ac:dyDescent="0.25">
      <c r="B288" s="115" t="s">
        <v>233</v>
      </c>
      <c r="C288" s="13">
        <v>46230.89166666667</v>
      </c>
      <c r="D288">
        <v>29354</v>
      </c>
      <c r="E288" s="54" t="s">
        <v>237</v>
      </c>
      <c r="F288" s="54" t="s">
        <v>681</v>
      </c>
      <c r="G288" s="54" t="s">
        <v>2014</v>
      </c>
      <c r="H288" s="55">
        <v>12.9</v>
      </c>
      <c r="I288" s="55">
        <v>11.899999999999999</v>
      </c>
      <c r="J288" s="55">
        <v>11.5</v>
      </c>
      <c r="K288" s="54"/>
      <c r="L288" s="56" t="b">
        <v>0</v>
      </c>
      <c r="M288" s="56" t="b">
        <v>0</v>
      </c>
      <c r="N288" s="54">
        <v>1</v>
      </c>
      <c r="O288" s="54" t="s">
        <v>228</v>
      </c>
      <c r="P288" s="54">
        <v>6</v>
      </c>
      <c r="Q288" s="54">
        <v>10</v>
      </c>
      <c r="R288" s="54">
        <v>249</v>
      </c>
      <c r="S288" s="54" t="s">
        <v>1688</v>
      </c>
      <c r="T288" s="54"/>
      <c r="U288" s="54" t="s">
        <v>1678</v>
      </c>
      <c r="V288" s="54" t="s">
        <v>1689</v>
      </c>
      <c r="W288" s="54" t="b">
        <v>0</v>
      </c>
      <c r="X288" s="54"/>
      <c r="Y288" s="57" t="s">
        <v>2015</v>
      </c>
      <c r="Z288" s="54" t="s">
        <v>1688</v>
      </c>
      <c r="AA288" s="54"/>
      <c r="AB288" s="54" t="s">
        <v>1691</v>
      </c>
      <c r="AC288" s="56" t="b">
        <v>1</v>
      </c>
      <c r="AD288" s="56" t="b">
        <v>0</v>
      </c>
      <c r="AE288" s="54" t="s">
        <v>303</v>
      </c>
      <c r="AF288" s="58">
        <v>46227</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4.9288999999999999E-2</v>
      </c>
      <c r="BC288" s="60"/>
      <c r="BD288" s="61"/>
      <c r="BE288" s="62" t="s">
        <v>293</v>
      </c>
      <c r="BF288" s="35">
        <f t="shared" si="603"/>
        <v>4.0600000000000005</v>
      </c>
      <c r="BG288" s="35">
        <f t="shared" si="603"/>
        <v>6.0295000000000001E-2</v>
      </c>
      <c r="BH288" s="35" t="str">
        <f t="shared" si="604"/>
        <v>Med</v>
      </c>
      <c r="BI288" s="110">
        <f t="shared" si="605"/>
        <v>0</v>
      </c>
      <c r="BJ288" s="83">
        <f>VLOOKUP($F288,REP_Info!$D$6:$H$250,5,FALSE)</f>
        <v>1.694</v>
      </c>
      <c r="BK288" s="30">
        <f t="shared" si="606"/>
        <v>12.760399999999999</v>
      </c>
      <c r="BL288" s="30">
        <f t="shared" si="606"/>
        <v>11.859400000000001</v>
      </c>
      <c r="BM288" s="30">
        <f t="shared" si="606"/>
        <v>11.408899999999999</v>
      </c>
      <c r="BN288" s="29">
        <f t="shared" si="606"/>
        <v>11.258733333333332</v>
      </c>
      <c r="BO288" s="85" t="str">
        <f t="shared" si="2"/>
        <v>$$$</v>
      </c>
      <c r="BP288" s="88" t="str">
        <f t="shared" si="607"/>
        <v>$$$</v>
      </c>
      <c r="BQ288" s="88" t="str">
        <f t="shared" si="4"/>
        <v>$$$</v>
      </c>
      <c r="BR288" s="88" t="str">
        <f t="shared" si="5"/>
        <v>$$$</v>
      </c>
      <c r="BS288" s="29" t="e">
        <f t="shared" si="608"/>
        <v>#N/A</v>
      </c>
      <c r="BT288" s="29" t="e">
        <f t="shared" si="608"/>
        <v>#N/A</v>
      </c>
      <c r="BU288" s="29" t="e">
        <f t="shared" si="608"/>
        <v>#N/A</v>
      </c>
      <c r="BV288" s="29" t="e">
        <f t="shared" si="608"/>
        <v>#N/A</v>
      </c>
      <c r="BW288" s="29" t="e">
        <f t="shared" si="608"/>
        <v>#N/A</v>
      </c>
      <c r="BX288" s="29" t="e">
        <f t="shared" si="608"/>
        <v>#N/A</v>
      </c>
      <c r="BY288" s="29" t="e">
        <f t="shared" si="608"/>
        <v>#N/A</v>
      </c>
      <c r="BZ288" s="29" t="e">
        <f t="shared" si="608"/>
        <v>#N/A</v>
      </c>
      <c r="CA288" s="29" t="e">
        <f t="shared" si="608"/>
        <v>#N/A</v>
      </c>
      <c r="CB288" s="29" t="e">
        <f t="shared" si="608"/>
        <v>#N/A</v>
      </c>
      <c r="CC288" s="29" t="e">
        <f t="shared" si="608"/>
        <v>#N/A</v>
      </c>
      <c r="CD288" s="29" t="e">
        <f t="shared" si="608"/>
        <v>#N/A</v>
      </c>
      <c r="CE288" s="6" t="str">
        <f t="shared" si="453"/>
        <v/>
      </c>
      <c r="CF288" s="27" t="e">
        <f>IF(AND(CI288,NOT(AD288)),LOOKUP(CF$5,{0,750,1500},H288:J288),"")</f>
        <v>#N/A</v>
      </c>
      <c r="CG288" s="6" t="str">
        <f t="shared" si="454"/>
        <v/>
      </c>
      <c r="CH288" t="e">
        <f t="shared" si="609"/>
        <v>#N/A</v>
      </c>
      <c r="CI288" t="e">
        <f t="shared" si="610"/>
        <v>#N/A</v>
      </c>
      <c r="CJ288" s="6" t="e">
        <f t="shared" si="11"/>
        <v>#N/A</v>
      </c>
      <c r="CK288" s="6">
        <f t="shared" si="12"/>
        <v>1</v>
      </c>
      <c r="CL288" s="6">
        <f t="shared" si="26"/>
        <v>1</v>
      </c>
      <c r="CM288" s="6">
        <f t="shared" si="13"/>
        <v>1</v>
      </c>
      <c r="CN288" s="6">
        <f t="shared" si="14"/>
        <v>0</v>
      </c>
      <c r="CO288" s="6">
        <f t="shared" si="15"/>
        <v>1</v>
      </c>
      <c r="CP288" s="6">
        <f t="shared" si="16"/>
        <v>1</v>
      </c>
      <c r="CQ288" s="6">
        <f t="shared" si="611"/>
        <v>1</v>
      </c>
      <c r="CR288" s="81" t="str">
        <f t="shared" si="17"/>
        <v/>
      </c>
      <c r="CS288">
        <f t="shared" si="612"/>
        <v>3.5999999999999992</v>
      </c>
      <c r="CT288">
        <f t="shared" si="615"/>
        <v>249</v>
      </c>
      <c r="CU288" t="str">
        <f t="shared" si="29"/>
        <v/>
      </c>
      <c r="CV288" s="81">
        <f t="shared" si="613"/>
        <v>249</v>
      </c>
      <c r="CW288" s="81">
        <f>(CV288/25)^1.5*(Calculator!$BU$4/10000)*CW$5</f>
        <v>81.163931279939632</v>
      </c>
      <c r="CX288" t="str">
        <f t="shared" si="614"/>
        <v>$249</v>
      </c>
    </row>
    <row r="289" spans="2:102" x14ac:dyDescent="0.25">
      <c r="B289" s="115" t="s">
        <v>233</v>
      </c>
      <c r="C289" s="13">
        <v>46205.794444444444</v>
      </c>
      <c r="D289">
        <v>29361</v>
      </c>
      <c r="E289" s="54" t="s">
        <v>237</v>
      </c>
      <c r="F289" s="54" t="s">
        <v>681</v>
      </c>
      <c r="G289" s="54" t="s">
        <v>1768</v>
      </c>
      <c r="H289" s="55">
        <v>13.100000000000001</v>
      </c>
      <c r="I289" s="55">
        <v>12.1</v>
      </c>
      <c r="J289" s="55">
        <v>11.700000000000001</v>
      </c>
      <c r="K289" s="54"/>
      <c r="L289" s="56" t="b">
        <v>0</v>
      </c>
      <c r="M289" s="56" t="b">
        <v>0</v>
      </c>
      <c r="N289" s="54">
        <v>0</v>
      </c>
      <c r="O289" s="54" t="s">
        <v>238</v>
      </c>
      <c r="P289" s="54">
        <v>6</v>
      </c>
      <c r="Q289" s="54">
        <v>1</v>
      </c>
      <c r="R289" s="54">
        <v>0</v>
      </c>
      <c r="S289" s="54" t="s">
        <v>1688</v>
      </c>
      <c r="T289" s="54"/>
      <c r="U289" s="54" t="s">
        <v>1678</v>
      </c>
      <c r="V289" s="54" t="s">
        <v>1689</v>
      </c>
      <c r="W289" s="54" t="b">
        <v>0</v>
      </c>
      <c r="X289" s="54"/>
      <c r="Y289" s="57" t="s">
        <v>1819</v>
      </c>
      <c r="Z289" s="54" t="s">
        <v>1690</v>
      </c>
      <c r="AA289" s="54"/>
      <c r="AB289" s="54" t="s">
        <v>1691</v>
      </c>
      <c r="AC289" s="56" t="b">
        <v>1</v>
      </c>
      <c r="AD289" s="56" t="b">
        <v>0</v>
      </c>
      <c r="AE289" s="54"/>
      <c r="AF289" s="58"/>
      <c r="AG289" s="62" t="s">
        <v>293</v>
      </c>
      <c r="AH289" s="54"/>
      <c r="AI289" s="54"/>
      <c r="AJ289" s="54"/>
      <c r="AK289" s="54"/>
      <c r="AL289" s="54"/>
      <c r="AM289" s="54">
        <v>0</v>
      </c>
      <c r="AN289" s="54"/>
      <c r="AO289" s="54"/>
      <c r="AP289" s="54"/>
      <c r="AQ289" s="54"/>
      <c r="AR289" s="54"/>
      <c r="AS289" s="54"/>
      <c r="AT289" s="54"/>
      <c r="AU289" s="54"/>
      <c r="AV289" s="54"/>
      <c r="AW289" s="54"/>
      <c r="AX289" s="59"/>
      <c r="AY289" s="59"/>
      <c r="AZ289" s="59"/>
      <c r="BA289" s="59"/>
      <c r="BB289" s="59"/>
      <c r="BC289" s="60"/>
      <c r="BD289" s="61"/>
      <c r="BE289" s="62"/>
      <c r="BF289" s="35">
        <f t="shared" si="603"/>
        <v>4.0600000000000005</v>
      </c>
      <c r="BG289" s="35">
        <f t="shared" si="603"/>
        <v>6.0295000000000001E-2</v>
      </c>
      <c r="BH289" s="35" t="str">
        <f t="shared" si="604"/>
        <v>?</v>
      </c>
      <c r="BI289" s="110" t="str">
        <f t="shared" si="605"/>
        <v/>
      </c>
      <c r="BJ289" s="83">
        <f>VLOOKUP($F289,REP_Info!$D$6:$H$250,5,FALSE)</f>
        <v>1.694</v>
      </c>
      <c r="BK289" s="30" t="e">
        <f t="shared" si="606"/>
        <v>#N/A</v>
      </c>
      <c r="BL289" s="30" t="e">
        <f t="shared" si="606"/>
        <v>#N/A</v>
      </c>
      <c r="BM289" s="30" t="e">
        <f t="shared" si="606"/>
        <v>#N/A</v>
      </c>
      <c r="BN289" s="29" t="e">
        <f t="shared" si="606"/>
        <v>#N/A</v>
      </c>
      <c r="BO289" s="85" t="str">
        <f t="shared" si="2"/>
        <v>$$$</v>
      </c>
      <c r="BP289" s="88" t="str">
        <f t="shared" si="607"/>
        <v>$$$</v>
      </c>
      <c r="BQ289" s="88" t="str">
        <f t="shared" si="4"/>
        <v>$$$</v>
      </c>
      <c r="BR289" s="88" t="str">
        <f t="shared" si="5"/>
        <v>$$$</v>
      </c>
      <c r="BS289" s="29" t="e">
        <f t="shared" si="608"/>
        <v>#N/A</v>
      </c>
      <c r="BT289" s="29" t="e">
        <f t="shared" si="608"/>
        <v>#N/A</v>
      </c>
      <c r="BU289" s="29" t="e">
        <f t="shared" si="608"/>
        <v>#N/A</v>
      </c>
      <c r="BV289" s="29" t="e">
        <f t="shared" si="608"/>
        <v>#N/A</v>
      </c>
      <c r="BW289" s="29" t="e">
        <f t="shared" si="608"/>
        <v>#N/A</v>
      </c>
      <c r="BX289" s="29" t="e">
        <f t="shared" si="608"/>
        <v>#N/A</v>
      </c>
      <c r="BY289" s="29" t="e">
        <f t="shared" si="608"/>
        <v>#N/A</v>
      </c>
      <c r="BZ289" s="29" t="e">
        <f t="shared" si="608"/>
        <v>#N/A</v>
      </c>
      <c r="CA289" s="29" t="e">
        <f t="shared" si="608"/>
        <v>#N/A</v>
      </c>
      <c r="CB289" s="29" t="e">
        <f t="shared" si="608"/>
        <v>#N/A</v>
      </c>
      <c r="CC289" s="29" t="e">
        <f t="shared" si="608"/>
        <v>#N/A</v>
      </c>
      <c r="CD289" s="29" t="e">
        <f t="shared" si="608"/>
        <v>#N/A</v>
      </c>
      <c r="CE289" s="6" t="str">
        <f t="shared" si="453"/>
        <v/>
      </c>
      <c r="CF289" s="27" t="e">
        <f>IF(AND(CI289,NOT(AD289)),LOOKUP(CF$5,{0,750,1500},H289:J289),"")</f>
        <v>#N/A</v>
      </c>
      <c r="CG289" s="6" t="str">
        <f t="shared" si="454"/>
        <v/>
      </c>
      <c r="CH289" t="e">
        <f t="shared" si="609"/>
        <v>#N/A</v>
      </c>
      <c r="CI289" t="e">
        <f t="shared" si="610"/>
        <v>#N/A</v>
      </c>
      <c r="CJ289" s="6" t="e">
        <f t="shared" si="11"/>
        <v>#N/A</v>
      </c>
      <c r="CK289" s="6">
        <f t="shared" si="12"/>
        <v>1</v>
      </c>
      <c r="CL289" s="6">
        <f t="shared" si="26"/>
        <v>1</v>
      </c>
      <c r="CM289" s="6">
        <f t="shared" si="13"/>
        <v>0</v>
      </c>
      <c r="CN289" s="6">
        <f t="shared" si="14"/>
        <v>0</v>
      </c>
      <c r="CO289" s="6">
        <f t="shared" si="15"/>
        <v>1</v>
      </c>
      <c r="CP289" s="6">
        <f t="shared" si="16"/>
        <v>1</v>
      </c>
      <c r="CQ289" s="6">
        <f t="shared" si="611"/>
        <v>1</v>
      </c>
      <c r="CR289" s="81" t="str">
        <f t="shared" si="17"/>
        <v/>
      </c>
      <c r="CS289">
        <f t="shared" si="612"/>
        <v>198</v>
      </c>
      <c r="CT289">
        <f t="shared" si="615"/>
        <v>0</v>
      </c>
      <c r="CU289" t="str">
        <f t="shared" si="29"/>
        <v/>
      </c>
      <c r="CV289" s="81">
        <f t="shared" si="613"/>
        <v>0</v>
      </c>
      <c r="CW289" s="81">
        <f>(CV289/25)^1.5*(Calculator!$BU$4/10000)*CW$5</f>
        <v>0</v>
      </c>
      <c r="CX289" t="str">
        <f t="shared" si="614"/>
        <v>$0</v>
      </c>
    </row>
    <row r="290" spans="2:102" x14ac:dyDescent="0.25">
      <c r="B290" s="115" t="s">
        <v>233</v>
      </c>
      <c r="C290" s="13">
        <v>46205.794444444444</v>
      </c>
      <c r="D290">
        <v>29362</v>
      </c>
      <c r="E290" s="54" t="s">
        <v>235</v>
      </c>
      <c r="F290" s="54" t="s">
        <v>681</v>
      </c>
      <c r="G290" s="54" t="s">
        <v>1768</v>
      </c>
      <c r="H290" s="55">
        <v>12.2</v>
      </c>
      <c r="I290" s="55">
        <v>11.200000000000001</v>
      </c>
      <c r="J290" s="55">
        <v>10.8</v>
      </c>
      <c r="K290" s="54"/>
      <c r="L290" s="56" t="b">
        <v>0</v>
      </c>
      <c r="M290" s="56" t="b">
        <v>0</v>
      </c>
      <c r="N290" s="54">
        <v>0</v>
      </c>
      <c r="O290" s="54" t="s">
        <v>238</v>
      </c>
      <c r="P290" s="54">
        <v>6</v>
      </c>
      <c r="Q290" s="54">
        <v>1</v>
      </c>
      <c r="R290" s="54">
        <v>0</v>
      </c>
      <c r="S290" s="54" t="s">
        <v>1688</v>
      </c>
      <c r="T290" s="54"/>
      <c r="U290" s="54" t="s">
        <v>1678</v>
      </c>
      <c r="V290" s="54" t="s">
        <v>1689</v>
      </c>
      <c r="W290" s="54" t="b">
        <v>0</v>
      </c>
      <c r="X290" s="54"/>
      <c r="Y290" s="57" t="s">
        <v>1820</v>
      </c>
      <c r="Z290" s="54" t="s">
        <v>1690</v>
      </c>
      <c r="AA290" s="54"/>
      <c r="AB290" s="54" t="s">
        <v>1691</v>
      </c>
      <c r="AC290" s="56" t="b">
        <v>1</v>
      </c>
      <c r="AD290" s="56" t="b">
        <v>0</v>
      </c>
      <c r="AE290" s="54"/>
      <c r="AF290" s="58"/>
      <c r="AG290" s="62" t="s">
        <v>293</v>
      </c>
      <c r="AH290" s="54"/>
      <c r="AI290" s="54"/>
      <c r="AJ290" s="54"/>
      <c r="AK290" s="54"/>
      <c r="AL290" s="54"/>
      <c r="AM290" s="54">
        <v>0</v>
      </c>
      <c r="AN290" s="54"/>
      <c r="AO290" s="54"/>
      <c r="AP290" s="54"/>
      <c r="AQ290" s="54"/>
      <c r="AR290" s="54"/>
      <c r="AS290" s="54"/>
      <c r="AT290" s="54"/>
      <c r="AU290" s="54"/>
      <c r="AV290" s="54"/>
      <c r="AW290" s="54"/>
      <c r="AX290" s="59"/>
      <c r="AY290" s="59"/>
      <c r="AZ290" s="59"/>
      <c r="BA290" s="59"/>
      <c r="BB290" s="59"/>
      <c r="BC290" s="60"/>
      <c r="BD290" s="61"/>
      <c r="BE290" s="62"/>
      <c r="BF290" s="35">
        <f t="shared" si="603"/>
        <v>4.9000000000000004</v>
      </c>
      <c r="BG290" s="35">
        <f t="shared" si="603"/>
        <v>5.1461E-2</v>
      </c>
      <c r="BH290" s="35" t="str">
        <f t="shared" si="604"/>
        <v>?</v>
      </c>
      <c r="BI290" s="110" t="str">
        <f t="shared" si="605"/>
        <v/>
      </c>
      <c r="BJ290" s="83">
        <f>VLOOKUP($F290,REP_Info!$D$6:$H$250,5,FALSE)</f>
        <v>1.694</v>
      </c>
      <c r="BK290" s="30" t="e">
        <f t="shared" si="606"/>
        <v>#N/A</v>
      </c>
      <c r="BL290" s="30" t="e">
        <f t="shared" si="606"/>
        <v>#N/A</v>
      </c>
      <c r="BM290" s="30" t="e">
        <f t="shared" si="606"/>
        <v>#N/A</v>
      </c>
      <c r="BN290" s="29" t="e">
        <f t="shared" si="606"/>
        <v>#N/A</v>
      </c>
      <c r="BO290" s="85" t="str">
        <f t="shared" si="2"/>
        <v>$$$</v>
      </c>
      <c r="BP290" s="88" t="str">
        <f t="shared" si="607"/>
        <v>$$$</v>
      </c>
      <c r="BQ290" s="88" t="str">
        <f t="shared" si="4"/>
        <v>$$$</v>
      </c>
      <c r="BR290" s="88" t="str">
        <f t="shared" si="5"/>
        <v>$$$</v>
      </c>
      <c r="BS290" s="29" t="e">
        <f t="shared" si="608"/>
        <v>#N/A</v>
      </c>
      <c r="BT290" s="29" t="e">
        <f t="shared" si="608"/>
        <v>#N/A</v>
      </c>
      <c r="BU290" s="29" t="e">
        <f t="shared" si="608"/>
        <v>#N/A</v>
      </c>
      <c r="BV290" s="29" t="e">
        <f t="shared" si="608"/>
        <v>#N/A</v>
      </c>
      <c r="BW290" s="29" t="e">
        <f t="shared" si="608"/>
        <v>#N/A</v>
      </c>
      <c r="BX290" s="29" t="e">
        <f t="shared" si="608"/>
        <v>#N/A</v>
      </c>
      <c r="BY290" s="29" t="e">
        <f t="shared" si="608"/>
        <v>#N/A</v>
      </c>
      <c r="BZ290" s="29" t="e">
        <f t="shared" si="608"/>
        <v>#N/A</v>
      </c>
      <c r="CA290" s="29" t="e">
        <f t="shared" si="608"/>
        <v>#N/A</v>
      </c>
      <c r="CB290" s="29" t="e">
        <f t="shared" si="608"/>
        <v>#N/A</v>
      </c>
      <c r="CC290" s="29" t="e">
        <f t="shared" si="608"/>
        <v>#N/A</v>
      </c>
      <c r="CD290" s="29" t="e">
        <f t="shared" si="608"/>
        <v>#N/A</v>
      </c>
      <c r="CE290" s="6" t="str">
        <f t="shared" ref="CE290:CE346" si="616">IF(ISNUMBER(CF290),RANK($CF290,$CF$8:$CF$346,1),"")</f>
        <v/>
      </c>
      <c r="CF290" s="27" t="e">
        <f>IF(AND(CI290,NOT(AD290)),LOOKUP(CF$5,{0,750,1500},H290:J290),"")</f>
        <v>#N/A</v>
      </c>
      <c r="CG290" s="6" t="str">
        <f t="shared" ref="CG290:CG346" si="617">IF(ISNUMBER(CH290),RANK($CH290,$CH$8:$CH$346,1),"")</f>
        <v/>
      </c>
      <c r="CH290" t="e">
        <f t="shared" si="609"/>
        <v>#N/A</v>
      </c>
      <c r="CI290" t="e">
        <f t="shared" si="610"/>
        <v>#N/A</v>
      </c>
      <c r="CJ290" s="6" t="e">
        <f t="shared" si="11"/>
        <v>#N/A</v>
      </c>
      <c r="CK290" s="6">
        <f t="shared" si="12"/>
        <v>1</v>
      </c>
      <c r="CL290" s="6">
        <f t="shared" si="26"/>
        <v>1</v>
      </c>
      <c r="CM290" s="6">
        <f t="shared" si="13"/>
        <v>0</v>
      </c>
      <c r="CN290" s="6">
        <f t="shared" si="14"/>
        <v>0</v>
      </c>
      <c r="CO290" s="6">
        <f t="shared" si="15"/>
        <v>1</v>
      </c>
      <c r="CP290" s="6">
        <f t="shared" si="16"/>
        <v>1</v>
      </c>
      <c r="CQ290" s="6">
        <f t="shared" si="611"/>
        <v>1</v>
      </c>
      <c r="CR290" s="81" t="str">
        <f t="shared" si="17"/>
        <v/>
      </c>
      <c r="CS290">
        <f t="shared" si="612"/>
        <v>198</v>
      </c>
      <c r="CT290">
        <f t="shared" si="615"/>
        <v>0</v>
      </c>
      <c r="CU290" t="str">
        <f t="shared" si="29"/>
        <v/>
      </c>
      <c r="CV290" s="81">
        <f t="shared" si="613"/>
        <v>0</v>
      </c>
      <c r="CW290" s="81">
        <f>(CV290/25)^1.5*(Calculator!$BU$4/10000)*CW$5</f>
        <v>0</v>
      </c>
      <c r="CX290" t="str">
        <f t="shared" si="614"/>
        <v>$0</v>
      </c>
    </row>
    <row r="291" spans="2:102" x14ac:dyDescent="0.25">
      <c r="B291" s="115" t="s">
        <v>233</v>
      </c>
      <c r="C291" s="13">
        <v>46230.89166666667</v>
      </c>
      <c r="D291">
        <v>36267</v>
      </c>
      <c r="E291" s="54" t="s">
        <v>235</v>
      </c>
      <c r="F291" s="54" t="s">
        <v>681</v>
      </c>
      <c r="G291" s="54" t="s">
        <v>2014</v>
      </c>
      <c r="H291" s="55">
        <v>11.899999999999999</v>
      </c>
      <c r="I291" s="55">
        <v>10.9</v>
      </c>
      <c r="J291" s="55">
        <v>10.5</v>
      </c>
      <c r="K291" s="54"/>
      <c r="L291" s="56" t="b">
        <v>0</v>
      </c>
      <c r="M291" s="56" t="b">
        <v>0</v>
      </c>
      <c r="N291" s="54">
        <v>1</v>
      </c>
      <c r="O291" s="54" t="s">
        <v>228</v>
      </c>
      <c r="P291" s="54">
        <v>6</v>
      </c>
      <c r="Q291" s="54">
        <v>10</v>
      </c>
      <c r="R291" s="54">
        <v>249</v>
      </c>
      <c r="S291" s="54" t="s">
        <v>1688</v>
      </c>
      <c r="T291" s="54"/>
      <c r="U291" s="54" t="s">
        <v>1678</v>
      </c>
      <c r="V291" s="54" t="s">
        <v>1689</v>
      </c>
      <c r="W291" s="54" t="b">
        <v>0</v>
      </c>
      <c r="X291" s="54"/>
      <c r="Y291" s="57" t="s">
        <v>2016</v>
      </c>
      <c r="Z291" s="54" t="s">
        <v>1688</v>
      </c>
      <c r="AA291" s="54"/>
      <c r="AB291" s="54" t="s">
        <v>1691</v>
      </c>
      <c r="AC291" s="56" t="b">
        <v>1</v>
      </c>
      <c r="AD291" s="56" t="b">
        <v>0</v>
      </c>
      <c r="AE291" s="54" t="s">
        <v>303</v>
      </c>
      <c r="AF291" s="58">
        <v>46227</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4.8183999999999998E-2</v>
      </c>
      <c r="BC291" s="60"/>
      <c r="BD291" s="61"/>
      <c r="BE291" s="62" t="s">
        <v>293</v>
      </c>
      <c r="BF291" s="35">
        <f t="shared" si="603"/>
        <v>4.9000000000000004</v>
      </c>
      <c r="BG291" s="35">
        <f t="shared" si="603"/>
        <v>5.1461E-2</v>
      </c>
      <c r="BH291" s="35" t="str">
        <f t="shared" si="604"/>
        <v>Med</v>
      </c>
      <c r="BI291" s="110">
        <f t="shared" si="605"/>
        <v>0</v>
      </c>
      <c r="BJ291" s="83">
        <f>VLOOKUP($F291,REP_Info!$D$6:$H$250,5,FALSE)</f>
        <v>1.694</v>
      </c>
      <c r="BK291" s="30">
        <f t="shared" si="606"/>
        <v>11.9345</v>
      </c>
      <c r="BL291" s="30">
        <f t="shared" si="606"/>
        <v>10.9495</v>
      </c>
      <c r="BM291" s="30">
        <f t="shared" si="606"/>
        <v>10.457000000000001</v>
      </c>
      <c r="BN291" s="29">
        <f t="shared" si="606"/>
        <v>10.292833333333332</v>
      </c>
      <c r="BO291" s="85" t="str">
        <f t="shared" si="2"/>
        <v>$$$</v>
      </c>
      <c r="BP291" s="88" t="str">
        <f t="shared" si="607"/>
        <v>$$$</v>
      </c>
      <c r="BQ291" s="88" t="str">
        <f t="shared" si="4"/>
        <v>$$$</v>
      </c>
      <c r="BR291" s="88" t="str">
        <f t="shared" si="5"/>
        <v>$$$</v>
      </c>
      <c r="BS291" s="29" t="e">
        <f t="shared" si="608"/>
        <v>#N/A</v>
      </c>
      <c r="BT291" s="29" t="e">
        <f t="shared" si="608"/>
        <v>#N/A</v>
      </c>
      <c r="BU291" s="29" t="e">
        <f t="shared" si="608"/>
        <v>#N/A</v>
      </c>
      <c r="BV291" s="29" t="e">
        <f t="shared" si="608"/>
        <v>#N/A</v>
      </c>
      <c r="BW291" s="29" t="e">
        <f t="shared" si="608"/>
        <v>#N/A</v>
      </c>
      <c r="BX291" s="29" t="e">
        <f t="shared" si="608"/>
        <v>#N/A</v>
      </c>
      <c r="BY291" s="29" t="e">
        <f t="shared" si="608"/>
        <v>#N/A</v>
      </c>
      <c r="BZ291" s="29" t="e">
        <f t="shared" si="608"/>
        <v>#N/A</v>
      </c>
      <c r="CA291" s="29" t="e">
        <f t="shared" si="608"/>
        <v>#N/A</v>
      </c>
      <c r="CB291" s="29" t="e">
        <f t="shared" si="608"/>
        <v>#N/A</v>
      </c>
      <c r="CC291" s="29" t="e">
        <f t="shared" si="608"/>
        <v>#N/A</v>
      </c>
      <c r="CD291" s="29" t="e">
        <f t="shared" si="608"/>
        <v>#N/A</v>
      </c>
      <c r="CE291" s="6" t="str">
        <f t="shared" si="616"/>
        <v/>
      </c>
      <c r="CF291" s="27" t="e">
        <f>IF(AND(CI291,NOT(AD291)),LOOKUP(CF$5,{0,750,1500},H291:J291),"")</f>
        <v>#N/A</v>
      </c>
      <c r="CG291" s="6" t="str">
        <f t="shared" si="617"/>
        <v/>
      </c>
      <c r="CH291" t="e">
        <f t="shared" si="609"/>
        <v>#N/A</v>
      </c>
      <c r="CI291" t="e">
        <f t="shared" si="610"/>
        <v>#N/A</v>
      </c>
      <c r="CJ291" s="6" t="e">
        <f t="shared" si="11"/>
        <v>#N/A</v>
      </c>
      <c r="CK291" s="6">
        <f t="shared" si="12"/>
        <v>1</v>
      </c>
      <c r="CL291" s="6">
        <f t="shared" si="26"/>
        <v>1</v>
      </c>
      <c r="CM291" s="6">
        <f t="shared" si="13"/>
        <v>1</v>
      </c>
      <c r="CN291" s="6">
        <f t="shared" si="14"/>
        <v>0</v>
      </c>
      <c r="CO291" s="6">
        <f t="shared" si="15"/>
        <v>1</v>
      </c>
      <c r="CP291" s="6">
        <f t="shared" si="16"/>
        <v>1</v>
      </c>
      <c r="CQ291" s="6">
        <f t="shared" si="611"/>
        <v>1</v>
      </c>
      <c r="CR291" s="81" t="str">
        <f t="shared" si="17"/>
        <v/>
      </c>
      <c r="CS291">
        <f t="shared" si="612"/>
        <v>3.5999999999999992</v>
      </c>
      <c r="CT291">
        <f t="shared" si="615"/>
        <v>249</v>
      </c>
      <c r="CU291" t="str">
        <f t="shared" si="29"/>
        <v/>
      </c>
      <c r="CV291" s="81">
        <f t="shared" si="613"/>
        <v>249</v>
      </c>
      <c r="CW291" s="81">
        <f>(CV291/25)^1.5*(Calculator!$BU$4/10000)*CW$5</f>
        <v>81.163931279939632</v>
      </c>
      <c r="CX291" t="str">
        <f t="shared" si="614"/>
        <v>$249</v>
      </c>
    </row>
    <row r="292" spans="2:102" x14ac:dyDescent="0.25">
      <c r="B292" s="115" t="s">
        <v>233</v>
      </c>
      <c r="C292" s="13">
        <v>46232.244444444441</v>
      </c>
      <c r="D292">
        <v>26309</v>
      </c>
      <c r="E292" s="54" t="s">
        <v>235</v>
      </c>
      <c r="F292" s="54" t="s">
        <v>682</v>
      </c>
      <c r="G292" s="54" t="s">
        <v>683</v>
      </c>
      <c r="H292" s="55">
        <v>12.9</v>
      </c>
      <c r="I292" s="55">
        <v>12.4</v>
      </c>
      <c r="J292" s="55">
        <v>12.2</v>
      </c>
      <c r="K292" s="54"/>
      <c r="L292" s="56" t="b">
        <v>0</v>
      </c>
      <c r="M292" s="56" t="b">
        <v>0</v>
      </c>
      <c r="N292" s="54">
        <v>1</v>
      </c>
      <c r="O292" s="54" t="s">
        <v>228</v>
      </c>
      <c r="P292" s="54">
        <v>37</v>
      </c>
      <c r="Q292" s="54">
        <v>12</v>
      </c>
      <c r="R292" s="54">
        <v>100</v>
      </c>
      <c r="S292" s="54" t="s">
        <v>684</v>
      </c>
      <c r="T292" s="54"/>
      <c r="U292" s="54" t="s">
        <v>685</v>
      </c>
      <c r="V292" s="54" t="s">
        <v>686</v>
      </c>
      <c r="W292" s="54" t="b">
        <v>0</v>
      </c>
      <c r="X292" s="54"/>
      <c r="Y292" s="57" t="s">
        <v>687</v>
      </c>
      <c r="Z292" s="54" t="s">
        <v>688</v>
      </c>
      <c r="AA292" s="54"/>
      <c r="AB292" s="54" t="s">
        <v>689</v>
      </c>
      <c r="AC292" s="56" t="b">
        <v>1</v>
      </c>
      <c r="AD292" s="56" t="b">
        <v>0</v>
      </c>
      <c r="AE292" s="54" t="s">
        <v>303</v>
      </c>
      <c r="AF292" s="58">
        <v>46232</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6.7900000000000002E-2</v>
      </c>
      <c r="BC292" s="60">
        <v>4.9000000000000004</v>
      </c>
      <c r="BD292" s="61">
        <v>5.1461E-2</v>
      </c>
      <c r="BE292" s="62" t="s">
        <v>293</v>
      </c>
      <c r="BF292" s="35">
        <f t="shared" si="603"/>
        <v>4.9000000000000004</v>
      </c>
      <c r="BG292" s="35">
        <f t="shared" si="603"/>
        <v>5.1461E-2</v>
      </c>
      <c r="BH292" s="35" t="str">
        <f t="shared" si="604"/>
        <v>Low</v>
      </c>
      <c r="BI292" s="110">
        <f t="shared" si="605"/>
        <v>0</v>
      </c>
      <c r="BJ292" s="83">
        <f>VLOOKUP($F292,REP_Info!$D$6:$H$250,5,FALSE)</f>
        <v>1.159</v>
      </c>
      <c r="BK292" s="30">
        <f t="shared" si="606"/>
        <v>12.9161</v>
      </c>
      <c r="BL292" s="30">
        <f t="shared" si="606"/>
        <v>12.4261</v>
      </c>
      <c r="BM292" s="30">
        <f t="shared" si="606"/>
        <v>12.181100000000001</v>
      </c>
      <c r="BN292" s="29">
        <f t="shared" si="606"/>
        <v>12.099433333333334</v>
      </c>
      <c r="BO292" s="85" t="str">
        <f t="shared" si="2"/>
        <v>$$$</v>
      </c>
      <c r="BP292" s="88" t="str">
        <f t="shared" si="607"/>
        <v>$$$</v>
      </c>
      <c r="BQ292" s="88" t="str">
        <f t="shared" si="4"/>
        <v>$$$</v>
      </c>
      <c r="BR292" s="88" t="str">
        <f t="shared" si="5"/>
        <v>$$$</v>
      </c>
      <c r="BS292" s="29" t="e">
        <f t="shared" si="608"/>
        <v>#N/A</v>
      </c>
      <c r="BT292" s="29" t="e">
        <f t="shared" si="608"/>
        <v>#N/A</v>
      </c>
      <c r="BU292" s="29" t="e">
        <f t="shared" si="608"/>
        <v>#N/A</v>
      </c>
      <c r="BV292" s="29" t="e">
        <f t="shared" si="608"/>
        <v>#N/A</v>
      </c>
      <c r="BW292" s="29" t="e">
        <f t="shared" si="608"/>
        <v>#N/A</v>
      </c>
      <c r="BX292" s="29" t="e">
        <f t="shared" si="608"/>
        <v>#N/A</v>
      </c>
      <c r="BY292" s="29" t="e">
        <f t="shared" si="608"/>
        <v>#N/A</v>
      </c>
      <c r="BZ292" s="29" t="e">
        <f t="shared" si="608"/>
        <v>#N/A</v>
      </c>
      <c r="CA292" s="29" t="e">
        <f t="shared" si="608"/>
        <v>#N/A</v>
      </c>
      <c r="CB292" s="29" t="e">
        <f t="shared" si="608"/>
        <v>#N/A</v>
      </c>
      <c r="CC292" s="29" t="e">
        <f t="shared" si="608"/>
        <v>#N/A</v>
      </c>
      <c r="CD292" s="29" t="e">
        <f t="shared" si="608"/>
        <v>#N/A</v>
      </c>
      <c r="CE292" s="6" t="str">
        <f t="shared" si="616"/>
        <v/>
      </c>
      <c r="CF292" s="27" t="e">
        <f>IF(AND(CI292,NOT(AD292)),LOOKUP(CF$5,{0,750,1500},H292:J292),"")</f>
        <v>#N/A</v>
      </c>
      <c r="CG292" s="6" t="str">
        <f t="shared" si="617"/>
        <v/>
      </c>
      <c r="CH292" t="e">
        <f t="shared" si="609"/>
        <v>#N/A</v>
      </c>
      <c r="CI292" t="e">
        <f t="shared" si="610"/>
        <v>#N/A</v>
      </c>
      <c r="CJ292" s="6" t="e">
        <f t="shared" si="11"/>
        <v>#N/A</v>
      </c>
      <c r="CK292" s="6">
        <f t="shared" si="12"/>
        <v>1</v>
      </c>
      <c r="CL292" s="6">
        <f t="shared" si="26"/>
        <v>1</v>
      </c>
      <c r="CM292" s="6">
        <f t="shared" si="13"/>
        <v>1</v>
      </c>
      <c r="CN292" s="6">
        <f t="shared" si="14"/>
        <v>1</v>
      </c>
      <c r="CO292" s="6">
        <f t="shared" si="15"/>
        <v>1</v>
      </c>
      <c r="CP292" s="6">
        <f t="shared" si="16"/>
        <v>1</v>
      </c>
      <c r="CQ292" s="6">
        <f t="shared" si="611"/>
        <v>1</v>
      </c>
      <c r="CR292" s="81" t="str">
        <f t="shared" si="17"/>
        <v/>
      </c>
      <c r="CS292">
        <f t="shared" si="612"/>
        <v>0</v>
      </c>
      <c r="CT292">
        <f t="shared" si="615"/>
        <v>100</v>
      </c>
      <c r="CU292" t="str">
        <f t="shared" si="29"/>
        <v/>
      </c>
      <c r="CV292" s="81">
        <f t="shared" si="613"/>
        <v>100</v>
      </c>
      <c r="CW292" s="81">
        <f>(CV292/25)^1.5*(Calculator!$BU$4/10000)*CW$5</f>
        <v>20.656847999999979</v>
      </c>
      <c r="CX292" t="str">
        <f t="shared" si="614"/>
        <v>$100</v>
      </c>
    </row>
    <row r="293" spans="2:102" x14ac:dyDescent="0.25">
      <c r="B293" s="115" t="s">
        <v>233</v>
      </c>
      <c r="C293" s="13">
        <v>46232.244444444441</v>
      </c>
      <c r="D293">
        <v>26323</v>
      </c>
      <c r="E293" s="54" t="s">
        <v>235</v>
      </c>
      <c r="F293" s="54" t="s">
        <v>682</v>
      </c>
      <c r="G293" s="54" t="s">
        <v>690</v>
      </c>
      <c r="H293" s="55">
        <v>13.200000000000001</v>
      </c>
      <c r="I293" s="55">
        <v>12.7</v>
      </c>
      <c r="J293" s="55">
        <v>12.5</v>
      </c>
      <c r="K293" s="54"/>
      <c r="L293" s="56" t="b">
        <v>0</v>
      </c>
      <c r="M293" s="56" t="b">
        <v>0</v>
      </c>
      <c r="N293" s="54">
        <v>1</v>
      </c>
      <c r="O293" s="54" t="s">
        <v>228</v>
      </c>
      <c r="P293" s="54">
        <v>37</v>
      </c>
      <c r="Q293" s="54">
        <v>15</v>
      </c>
      <c r="R293" s="54">
        <v>100</v>
      </c>
      <c r="S293" s="54" t="s">
        <v>684</v>
      </c>
      <c r="T293" s="54"/>
      <c r="U293" s="54" t="s">
        <v>691</v>
      </c>
      <c r="V293" s="54" t="s">
        <v>686</v>
      </c>
      <c r="W293" s="54" t="b">
        <v>0</v>
      </c>
      <c r="X293" s="54"/>
      <c r="Y293" s="57" t="s">
        <v>692</v>
      </c>
      <c r="Z293" s="54" t="s">
        <v>688</v>
      </c>
      <c r="AA293" s="54"/>
      <c r="AB293" s="54" t="s">
        <v>689</v>
      </c>
      <c r="AC293" s="56" t="b">
        <v>1</v>
      </c>
      <c r="AD293" s="56" t="b">
        <v>0</v>
      </c>
      <c r="AE293" s="54" t="s">
        <v>303</v>
      </c>
      <c r="AF293" s="58">
        <v>46232</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7.0900000000000005E-2</v>
      </c>
      <c r="BC293" s="60">
        <v>4.9000000000000004</v>
      </c>
      <c r="BD293" s="61">
        <v>5.1461E-2</v>
      </c>
      <c r="BE293" s="62" t="s">
        <v>293</v>
      </c>
      <c r="BF293" s="35">
        <f t="shared" si="603"/>
        <v>4.9000000000000004</v>
      </c>
      <c r="BG293" s="35">
        <f t="shared" si="603"/>
        <v>5.1461E-2</v>
      </c>
      <c r="BH293" s="35" t="str">
        <f t="shared" si="604"/>
        <v>Low</v>
      </c>
      <c r="BI293" s="110">
        <f t="shared" si="605"/>
        <v>0</v>
      </c>
      <c r="BJ293" s="83">
        <f>VLOOKUP($F293,REP_Info!$D$6:$H$250,5,FALSE)</f>
        <v>1.159</v>
      </c>
      <c r="BK293" s="30">
        <f t="shared" si="606"/>
        <v>13.216100000000001</v>
      </c>
      <c r="BL293" s="30">
        <f t="shared" si="606"/>
        <v>12.726100000000001</v>
      </c>
      <c r="BM293" s="30">
        <f t="shared" si="606"/>
        <v>12.4811</v>
      </c>
      <c r="BN293" s="29">
        <f t="shared" si="606"/>
        <v>12.399433333333334</v>
      </c>
      <c r="BO293" s="85" t="str">
        <f t="shared" si="2"/>
        <v>$$$</v>
      </c>
      <c r="BP293" s="88" t="str">
        <f t="shared" si="607"/>
        <v>$$$</v>
      </c>
      <c r="BQ293" s="88" t="str">
        <f t="shared" si="4"/>
        <v>$$$</v>
      </c>
      <c r="BR293" s="88" t="str">
        <f t="shared" si="5"/>
        <v>$$$</v>
      </c>
      <c r="BS293" s="29" t="e">
        <f t="shared" si="608"/>
        <v>#N/A</v>
      </c>
      <c r="BT293" s="29" t="e">
        <f t="shared" si="608"/>
        <v>#N/A</v>
      </c>
      <c r="BU293" s="29" t="e">
        <f t="shared" si="608"/>
        <v>#N/A</v>
      </c>
      <c r="BV293" s="29" t="e">
        <f t="shared" si="608"/>
        <v>#N/A</v>
      </c>
      <c r="BW293" s="29" t="e">
        <f t="shared" si="608"/>
        <v>#N/A</v>
      </c>
      <c r="BX293" s="29" t="e">
        <f t="shared" si="608"/>
        <v>#N/A</v>
      </c>
      <c r="BY293" s="29" t="e">
        <f t="shared" si="608"/>
        <v>#N/A</v>
      </c>
      <c r="BZ293" s="29" t="e">
        <f t="shared" si="608"/>
        <v>#N/A</v>
      </c>
      <c r="CA293" s="29" t="e">
        <f t="shared" si="608"/>
        <v>#N/A</v>
      </c>
      <c r="CB293" s="29" t="e">
        <f t="shared" si="608"/>
        <v>#N/A</v>
      </c>
      <c r="CC293" s="29" t="e">
        <f t="shared" si="608"/>
        <v>#N/A</v>
      </c>
      <c r="CD293" s="29" t="e">
        <f t="shared" si="608"/>
        <v>#N/A</v>
      </c>
      <c r="CE293" s="6" t="str">
        <f t="shared" si="616"/>
        <v/>
      </c>
      <c r="CF293" s="27" t="e">
        <f>IF(AND(CI293,NOT(AD293)),LOOKUP(CF$5,{0,750,1500},H293:J293),"")</f>
        <v>#N/A</v>
      </c>
      <c r="CG293" s="6" t="str">
        <f t="shared" si="617"/>
        <v/>
      </c>
      <c r="CH293" t="e">
        <f t="shared" si="609"/>
        <v>#N/A</v>
      </c>
      <c r="CI293" t="e">
        <f t="shared" si="610"/>
        <v>#N/A</v>
      </c>
      <c r="CJ293" s="6" t="e">
        <f t="shared" si="11"/>
        <v>#N/A</v>
      </c>
      <c r="CK293" s="6">
        <f t="shared" si="12"/>
        <v>1</v>
      </c>
      <c r="CL293" s="6">
        <f t="shared" si="26"/>
        <v>1</v>
      </c>
      <c r="CM293" s="6">
        <f t="shared" si="13"/>
        <v>1</v>
      </c>
      <c r="CN293" s="6">
        <f t="shared" si="14"/>
        <v>1</v>
      </c>
      <c r="CO293" s="6">
        <f t="shared" si="15"/>
        <v>0</v>
      </c>
      <c r="CP293" s="6">
        <f t="shared" si="16"/>
        <v>1</v>
      </c>
      <c r="CQ293" s="6">
        <f t="shared" si="611"/>
        <v>1</v>
      </c>
      <c r="CR293" s="81" t="str">
        <f t="shared" si="17"/>
        <v/>
      </c>
      <c r="CS293">
        <f t="shared" si="612"/>
        <v>0</v>
      </c>
      <c r="CT293">
        <f t="shared" si="615"/>
        <v>100</v>
      </c>
      <c r="CU293" t="str">
        <f t="shared" si="29"/>
        <v/>
      </c>
      <c r="CV293" s="81">
        <f t="shared" si="613"/>
        <v>100</v>
      </c>
      <c r="CW293" s="81">
        <f>(CV293/25)^1.5*(Calculator!$BU$4/10000)*CW$5</f>
        <v>20.656847999999979</v>
      </c>
      <c r="CX293" t="str">
        <f t="shared" si="614"/>
        <v>$100</v>
      </c>
    </row>
    <row r="294" spans="2:102" x14ac:dyDescent="0.25">
      <c r="B294" s="115" t="s">
        <v>233</v>
      </c>
      <c r="C294" s="13">
        <v>46224.416666666664</v>
      </c>
      <c r="D294">
        <v>26333</v>
      </c>
      <c r="E294" s="54" t="s">
        <v>237</v>
      </c>
      <c r="F294" s="54" t="s">
        <v>682</v>
      </c>
      <c r="G294" s="54" t="s">
        <v>683</v>
      </c>
      <c r="H294" s="55">
        <v>13.8</v>
      </c>
      <c r="I294" s="55">
        <v>13.4</v>
      </c>
      <c r="J294" s="55">
        <v>13.200000000000001</v>
      </c>
      <c r="K294" s="54"/>
      <c r="L294" s="56" t="b">
        <v>0</v>
      </c>
      <c r="M294" s="56" t="b">
        <v>0</v>
      </c>
      <c r="N294" s="54">
        <v>1</v>
      </c>
      <c r="O294" s="54" t="s">
        <v>228</v>
      </c>
      <c r="P294" s="54">
        <v>37</v>
      </c>
      <c r="Q294" s="54">
        <v>12</v>
      </c>
      <c r="R294" s="54">
        <v>100</v>
      </c>
      <c r="S294" s="54" t="s">
        <v>684</v>
      </c>
      <c r="T294" s="54"/>
      <c r="U294" s="54" t="s">
        <v>693</v>
      </c>
      <c r="V294" s="54" t="s">
        <v>686</v>
      </c>
      <c r="W294" s="54" t="b">
        <v>0</v>
      </c>
      <c r="X294" s="54"/>
      <c r="Y294" s="57" t="s">
        <v>694</v>
      </c>
      <c r="Z294" s="54" t="s">
        <v>688</v>
      </c>
      <c r="AA294" s="54"/>
      <c r="AB294" s="54" t="s">
        <v>689</v>
      </c>
      <c r="AC294" s="56" t="b">
        <v>1</v>
      </c>
      <c r="AD294" s="56" t="b">
        <v>0</v>
      </c>
      <c r="AE294" s="54" t="s">
        <v>303</v>
      </c>
      <c r="AF294" s="58">
        <v>46224</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6.8900000000000003E-2</v>
      </c>
      <c r="BC294" s="60">
        <v>4.0599999999999996</v>
      </c>
      <c r="BD294" s="61">
        <v>6.1196E-2</v>
      </c>
      <c r="BE294" s="62" t="s">
        <v>293</v>
      </c>
      <c r="BF294" s="35">
        <f t="shared" si="603"/>
        <v>4.0600000000000005</v>
      </c>
      <c r="BG294" s="35">
        <f t="shared" si="603"/>
        <v>6.0295000000000001E-2</v>
      </c>
      <c r="BH294" s="35" t="str">
        <f t="shared" si="604"/>
        <v>Low</v>
      </c>
      <c r="BI294" s="110">
        <f t="shared" si="605"/>
        <v>0</v>
      </c>
      <c r="BJ294" s="83">
        <f>VLOOKUP($F294,REP_Info!$D$6:$H$250,5,FALSE)</f>
        <v>1.159</v>
      </c>
      <c r="BK294" s="30">
        <f t="shared" si="606"/>
        <v>13.7315</v>
      </c>
      <c r="BL294" s="30">
        <f t="shared" si="606"/>
        <v>13.3255</v>
      </c>
      <c r="BM294" s="30">
        <f t="shared" si="606"/>
        <v>13.122500000000002</v>
      </c>
      <c r="BN294" s="29">
        <f t="shared" si="606"/>
        <v>13.054833333333333</v>
      </c>
      <c r="BO294" s="85" t="str">
        <f t="shared" si="2"/>
        <v>$$$</v>
      </c>
      <c r="BP294" s="88" t="str">
        <f t="shared" si="607"/>
        <v>$$$</v>
      </c>
      <c r="BQ294" s="88" t="str">
        <f t="shared" si="4"/>
        <v>$$$</v>
      </c>
      <c r="BR294" s="88" t="str">
        <f t="shared" si="5"/>
        <v>$$$</v>
      </c>
      <c r="BS294" s="29" t="e">
        <f t="shared" si="608"/>
        <v>#N/A</v>
      </c>
      <c r="BT294" s="29" t="e">
        <f t="shared" si="608"/>
        <v>#N/A</v>
      </c>
      <c r="BU294" s="29" t="e">
        <f t="shared" si="608"/>
        <v>#N/A</v>
      </c>
      <c r="BV294" s="29" t="e">
        <f t="shared" si="608"/>
        <v>#N/A</v>
      </c>
      <c r="BW294" s="29" t="e">
        <f t="shared" si="608"/>
        <v>#N/A</v>
      </c>
      <c r="BX294" s="29" t="e">
        <f t="shared" si="608"/>
        <v>#N/A</v>
      </c>
      <c r="BY294" s="29" t="e">
        <f t="shared" si="608"/>
        <v>#N/A</v>
      </c>
      <c r="BZ294" s="29" t="e">
        <f t="shared" si="608"/>
        <v>#N/A</v>
      </c>
      <c r="CA294" s="29" t="e">
        <f t="shared" si="608"/>
        <v>#N/A</v>
      </c>
      <c r="CB294" s="29" t="e">
        <f t="shared" si="608"/>
        <v>#N/A</v>
      </c>
      <c r="CC294" s="29" t="e">
        <f t="shared" si="608"/>
        <v>#N/A</v>
      </c>
      <c r="CD294" s="29" t="e">
        <f t="shared" si="608"/>
        <v>#N/A</v>
      </c>
      <c r="CE294" s="6" t="str">
        <f t="shared" si="616"/>
        <v/>
      </c>
      <c r="CF294" s="27" t="e">
        <f>IF(AND(CI294,NOT(AD294)),LOOKUP(CF$5,{0,750,1500},H294:J294),"")</f>
        <v>#N/A</v>
      </c>
      <c r="CG294" s="6" t="str">
        <f t="shared" si="617"/>
        <v/>
      </c>
      <c r="CH294" t="e">
        <f t="shared" si="609"/>
        <v>#N/A</v>
      </c>
      <c r="CI294" t="e">
        <f t="shared" si="610"/>
        <v>#N/A</v>
      </c>
      <c r="CJ294" s="6" t="e">
        <f t="shared" si="11"/>
        <v>#N/A</v>
      </c>
      <c r="CK294" s="6">
        <f t="shared" si="12"/>
        <v>1</v>
      </c>
      <c r="CL294" s="6">
        <f t="shared" si="26"/>
        <v>1</v>
      </c>
      <c r="CM294" s="6">
        <f t="shared" si="13"/>
        <v>1</v>
      </c>
      <c r="CN294" s="6">
        <f t="shared" si="14"/>
        <v>1</v>
      </c>
      <c r="CO294" s="6">
        <f t="shared" si="15"/>
        <v>1</v>
      </c>
      <c r="CP294" s="6">
        <f t="shared" si="16"/>
        <v>1</v>
      </c>
      <c r="CQ294" s="6">
        <f t="shared" si="611"/>
        <v>1</v>
      </c>
      <c r="CR294" s="81" t="str">
        <f t="shared" si="17"/>
        <v/>
      </c>
      <c r="CS294">
        <f t="shared" si="612"/>
        <v>0</v>
      </c>
      <c r="CT294">
        <f t="shared" si="615"/>
        <v>100</v>
      </c>
      <c r="CU294" t="str">
        <f t="shared" si="29"/>
        <v/>
      </c>
      <c r="CV294" s="81">
        <f t="shared" si="613"/>
        <v>100</v>
      </c>
      <c r="CW294" s="81">
        <f>(CV294/25)^1.5*(Calculator!$BU$4/10000)*CW$5</f>
        <v>20.656847999999979</v>
      </c>
      <c r="CX294" t="str">
        <f t="shared" si="614"/>
        <v>$100</v>
      </c>
    </row>
    <row r="295" spans="2:102" x14ac:dyDescent="0.25">
      <c r="B295" s="115" t="s">
        <v>233</v>
      </c>
      <c r="C295" s="13">
        <v>46232.244444444441</v>
      </c>
      <c r="D295">
        <v>26338</v>
      </c>
      <c r="E295" s="54" t="s">
        <v>237</v>
      </c>
      <c r="F295" s="54" t="s">
        <v>682</v>
      </c>
      <c r="G295" s="54" t="s">
        <v>690</v>
      </c>
      <c r="H295" s="55">
        <v>13.900000000000002</v>
      </c>
      <c r="I295" s="55">
        <v>13.5</v>
      </c>
      <c r="J295" s="55">
        <v>13.3</v>
      </c>
      <c r="K295" s="54"/>
      <c r="L295" s="56" t="b">
        <v>0</v>
      </c>
      <c r="M295" s="56" t="b">
        <v>0</v>
      </c>
      <c r="N295" s="54">
        <v>1</v>
      </c>
      <c r="O295" s="54" t="s">
        <v>228</v>
      </c>
      <c r="P295" s="54">
        <v>37</v>
      </c>
      <c r="Q295" s="54">
        <v>15</v>
      </c>
      <c r="R295" s="54">
        <v>100</v>
      </c>
      <c r="S295" s="54" t="s">
        <v>684</v>
      </c>
      <c r="T295" s="54"/>
      <c r="U295" s="54" t="s">
        <v>693</v>
      </c>
      <c r="V295" s="54" t="s">
        <v>695</v>
      </c>
      <c r="W295" s="54" t="b">
        <v>0</v>
      </c>
      <c r="X295" s="54"/>
      <c r="Y295" s="57" t="s">
        <v>696</v>
      </c>
      <c r="Z295" s="54" t="s">
        <v>688</v>
      </c>
      <c r="AA295" s="54"/>
      <c r="AB295" s="54" t="s">
        <v>689</v>
      </c>
      <c r="AC295" s="56" t="b">
        <v>1</v>
      </c>
      <c r="AD295" s="56" t="b">
        <v>0</v>
      </c>
      <c r="AE295" s="54" t="s">
        <v>303</v>
      </c>
      <c r="AF295" s="58">
        <v>46232</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6.9900000000000004E-2</v>
      </c>
      <c r="BC295" s="60">
        <v>4.0599999999999996</v>
      </c>
      <c r="BD295" s="61">
        <v>6.1196E-2</v>
      </c>
      <c r="BE295" s="62" t="s">
        <v>293</v>
      </c>
      <c r="BF295" s="35">
        <f t="shared" si="603"/>
        <v>4.0600000000000005</v>
      </c>
      <c r="BG295" s="35">
        <f t="shared" si="603"/>
        <v>6.0295000000000001E-2</v>
      </c>
      <c r="BH295" s="35" t="str">
        <f t="shared" si="604"/>
        <v>Low</v>
      </c>
      <c r="BI295" s="110">
        <f t="shared" si="605"/>
        <v>0</v>
      </c>
      <c r="BJ295" s="83">
        <f>VLOOKUP($F295,REP_Info!$D$6:$H$250,5,FALSE)</f>
        <v>1.159</v>
      </c>
      <c r="BK295" s="30">
        <f t="shared" si="606"/>
        <v>13.8315</v>
      </c>
      <c r="BL295" s="30">
        <f t="shared" si="606"/>
        <v>13.4255</v>
      </c>
      <c r="BM295" s="30">
        <f t="shared" si="606"/>
        <v>13.222500000000002</v>
      </c>
      <c r="BN295" s="29">
        <f t="shared" si="606"/>
        <v>13.154833333333332</v>
      </c>
      <c r="BO295" s="85" t="str">
        <f t="shared" si="2"/>
        <v>$$$</v>
      </c>
      <c r="BP295" s="88" t="str">
        <f t="shared" si="607"/>
        <v>$$$</v>
      </c>
      <c r="BQ295" s="88" t="str">
        <f t="shared" si="4"/>
        <v>$$$</v>
      </c>
      <c r="BR295" s="88" t="str">
        <f t="shared" si="5"/>
        <v>$$$</v>
      </c>
      <c r="BS295" s="29" t="e">
        <f t="shared" si="608"/>
        <v>#N/A</v>
      </c>
      <c r="BT295" s="29" t="e">
        <f t="shared" si="608"/>
        <v>#N/A</v>
      </c>
      <c r="BU295" s="29" t="e">
        <f t="shared" si="608"/>
        <v>#N/A</v>
      </c>
      <c r="BV295" s="29" t="e">
        <f t="shared" si="608"/>
        <v>#N/A</v>
      </c>
      <c r="BW295" s="29" t="e">
        <f t="shared" si="608"/>
        <v>#N/A</v>
      </c>
      <c r="BX295" s="29" t="e">
        <f t="shared" si="608"/>
        <v>#N/A</v>
      </c>
      <c r="BY295" s="29" t="e">
        <f t="shared" si="608"/>
        <v>#N/A</v>
      </c>
      <c r="BZ295" s="29" t="e">
        <f t="shared" si="608"/>
        <v>#N/A</v>
      </c>
      <c r="CA295" s="29" t="e">
        <f t="shared" si="608"/>
        <v>#N/A</v>
      </c>
      <c r="CB295" s="29" t="e">
        <f t="shared" si="608"/>
        <v>#N/A</v>
      </c>
      <c r="CC295" s="29" t="e">
        <f t="shared" si="608"/>
        <v>#N/A</v>
      </c>
      <c r="CD295" s="29" t="e">
        <f t="shared" si="608"/>
        <v>#N/A</v>
      </c>
      <c r="CE295" s="6" t="str">
        <f t="shared" si="616"/>
        <v/>
      </c>
      <c r="CF295" s="27" t="e">
        <f>IF(AND(CI295,NOT(AD295)),LOOKUP(CF$5,{0,750,1500},H295:J295),"")</f>
        <v>#N/A</v>
      </c>
      <c r="CG295" s="6" t="str">
        <f t="shared" si="617"/>
        <v/>
      </c>
      <c r="CH295" t="e">
        <f t="shared" si="609"/>
        <v>#N/A</v>
      </c>
      <c r="CI295" t="e">
        <f t="shared" si="610"/>
        <v>#N/A</v>
      </c>
      <c r="CJ295" s="6" t="e">
        <f t="shared" si="11"/>
        <v>#N/A</v>
      </c>
      <c r="CK295" s="6">
        <f t="shared" si="12"/>
        <v>1</v>
      </c>
      <c r="CL295" s="6">
        <f t="shared" si="26"/>
        <v>1</v>
      </c>
      <c r="CM295" s="6">
        <f t="shared" si="13"/>
        <v>1</v>
      </c>
      <c r="CN295" s="6">
        <f t="shared" si="14"/>
        <v>1</v>
      </c>
      <c r="CO295" s="6">
        <f t="shared" si="15"/>
        <v>0</v>
      </c>
      <c r="CP295" s="6">
        <f t="shared" si="16"/>
        <v>1</v>
      </c>
      <c r="CQ295" s="6">
        <f t="shared" si="611"/>
        <v>1</v>
      </c>
      <c r="CR295" s="81" t="str">
        <f t="shared" si="17"/>
        <v/>
      </c>
      <c r="CS295">
        <f t="shared" si="612"/>
        <v>0</v>
      </c>
      <c r="CT295">
        <f t="shared" si="615"/>
        <v>100</v>
      </c>
      <c r="CU295" t="str">
        <f t="shared" si="29"/>
        <v/>
      </c>
      <c r="CV295" s="81">
        <f t="shared" si="613"/>
        <v>100</v>
      </c>
      <c r="CW295" s="81">
        <f>(CV295/25)^1.5*(Calculator!$BU$4/10000)*CW$5</f>
        <v>20.656847999999979</v>
      </c>
      <c r="CX295" t="str">
        <f t="shared" si="614"/>
        <v>$100</v>
      </c>
    </row>
    <row r="296" spans="2:102" x14ac:dyDescent="0.25">
      <c r="B296" s="115" t="s">
        <v>233</v>
      </c>
      <c r="C296" s="13">
        <v>46224.416666666664</v>
      </c>
      <c r="D296">
        <v>29208</v>
      </c>
      <c r="E296" s="54" t="s">
        <v>235</v>
      </c>
      <c r="F296" s="54" t="s">
        <v>682</v>
      </c>
      <c r="G296" s="54" t="s">
        <v>697</v>
      </c>
      <c r="H296" s="55">
        <v>13</v>
      </c>
      <c r="I296" s="55">
        <v>12.5</v>
      </c>
      <c r="J296" s="55">
        <v>12.3</v>
      </c>
      <c r="K296" s="54"/>
      <c r="L296" s="56" t="b">
        <v>0</v>
      </c>
      <c r="M296" s="56" t="b">
        <v>0</v>
      </c>
      <c r="N296" s="54">
        <v>1</v>
      </c>
      <c r="O296" s="54" t="s">
        <v>228</v>
      </c>
      <c r="P296" s="54">
        <v>37</v>
      </c>
      <c r="Q296" s="54">
        <v>6</v>
      </c>
      <c r="R296" s="54">
        <v>100</v>
      </c>
      <c r="S296" s="54" t="s">
        <v>684</v>
      </c>
      <c r="T296" s="54"/>
      <c r="U296" s="54" t="s">
        <v>698</v>
      </c>
      <c r="V296" s="54" t="s">
        <v>699</v>
      </c>
      <c r="W296" s="54" t="b">
        <v>0</v>
      </c>
      <c r="X296" s="54"/>
      <c r="Y296" s="57" t="s">
        <v>700</v>
      </c>
      <c r="Z296" s="54" t="s">
        <v>688</v>
      </c>
      <c r="AA296" s="54"/>
      <c r="AB296" s="54" t="s">
        <v>689</v>
      </c>
      <c r="AC296" s="56" t="b">
        <v>1</v>
      </c>
      <c r="AD296" s="56" t="b">
        <v>0</v>
      </c>
      <c r="AE296" s="54" t="s">
        <v>303</v>
      </c>
      <c r="AF296" s="58">
        <v>46224</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6.8900000000000003E-2</v>
      </c>
      <c r="BC296" s="60">
        <v>4.9000000000000004</v>
      </c>
      <c r="BD296" s="61">
        <v>5.1461E-2</v>
      </c>
      <c r="BE296" s="62" t="s">
        <v>293</v>
      </c>
      <c r="BF296" s="35">
        <f t="shared" si="603"/>
        <v>4.9000000000000004</v>
      </c>
      <c r="BG296" s="35">
        <f t="shared" si="603"/>
        <v>5.1461E-2</v>
      </c>
      <c r="BH296" s="35" t="str">
        <f t="shared" si="604"/>
        <v>Low</v>
      </c>
      <c r="BI296" s="110">
        <f t="shared" si="605"/>
        <v>0</v>
      </c>
      <c r="BJ296" s="83">
        <f>VLOOKUP($F296,REP_Info!$D$6:$H$250,5,FALSE)</f>
        <v>1.159</v>
      </c>
      <c r="BK296" s="30">
        <f t="shared" si="606"/>
        <v>13.0161</v>
      </c>
      <c r="BL296" s="30">
        <f t="shared" si="606"/>
        <v>12.5261</v>
      </c>
      <c r="BM296" s="30">
        <f t="shared" si="606"/>
        <v>12.2811</v>
      </c>
      <c r="BN296" s="29">
        <f t="shared" si="606"/>
        <v>12.199433333333335</v>
      </c>
      <c r="BO296" s="85" t="str">
        <f t="shared" si="2"/>
        <v>$$$</v>
      </c>
      <c r="BP296" s="88" t="str">
        <f t="shared" si="607"/>
        <v>$$$</v>
      </c>
      <c r="BQ296" s="88" t="str">
        <f t="shared" si="4"/>
        <v>$$$</v>
      </c>
      <c r="BR296" s="88" t="str">
        <f t="shared" si="5"/>
        <v>$$$</v>
      </c>
      <c r="BS296" s="29" t="e">
        <f t="shared" si="608"/>
        <v>#N/A</v>
      </c>
      <c r="BT296" s="29" t="e">
        <f t="shared" si="608"/>
        <v>#N/A</v>
      </c>
      <c r="BU296" s="29" t="e">
        <f t="shared" si="608"/>
        <v>#N/A</v>
      </c>
      <c r="BV296" s="29" t="e">
        <f t="shared" si="608"/>
        <v>#N/A</v>
      </c>
      <c r="BW296" s="29" t="e">
        <f t="shared" si="608"/>
        <v>#N/A</v>
      </c>
      <c r="BX296" s="29" t="e">
        <f t="shared" si="608"/>
        <v>#N/A</v>
      </c>
      <c r="BY296" s="29" t="e">
        <f t="shared" si="608"/>
        <v>#N/A</v>
      </c>
      <c r="BZ296" s="29" t="e">
        <f t="shared" si="608"/>
        <v>#N/A</v>
      </c>
      <c r="CA296" s="29" t="e">
        <f t="shared" si="608"/>
        <v>#N/A</v>
      </c>
      <c r="CB296" s="29" t="e">
        <f t="shared" si="608"/>
        <v>#N/A</v>
      </c>
      <c r="CC296" s="29" t="e">
        <f t="shared" si="608"/>
        <v>#N/A</v>
      </c>
      <c r="CD296" s="29" t="e">
        <f t="shared" si="608"/>
        <v>#N/A</v>
      </c>
      <c r="CE296" s="6" t="str">
        <f t="shared" si="616"/>
        <v/>
      </c>
      <c r="CF296" s="27" t="e">
        <f>IF(AND(CI296,NOT(AD296)),LOOKUP(CF$5,{0,750,1500},H296:J296),"")</f>
        <v>#N/A</v>
      </c>
      <c r="CG296" s="6" t="str">
        <f t="shared" si="617"/>
        <v/>
      </c>
      <c r="CH296" t="e">
        <f t="shared" si="609"/>
        <v>#N/A</v>
      </c>
      <c r="CI296" t="e">
        <f t="shared" si="610"/>
        <v>#N/A</v>
      </c>
      <c r="CJ296" s="6" t="e">
        <f t="shared" si="11"/>
        <v>#N/A</v>
      </c>
      <c r="CK296" s="6">
        <f t="shared" si="12"/>
        <v>1</v>
      </c>
      <c r="CL296" s="6">
        <f t="shared" si="26"/>
        <v>1</v>
      </c>
      <c r="CM296" s="6">
        <f t="shared" si="13"/>
        <v>1</v>
      </c>
      <c r="CN296" s="6">
        <f t="shared" si="14"/>
        <v>0</v>
      </c>
      <c r="CO296" s="6">
        <f t="shared" si="15"/>
        <v>1</v>
      </c>
      <c r="CP296" s="6">
        <f t="shared" si="16"/>
        <v>1</v>
      </c>
      <c r="CQ296" s="6">
        <f t="shared" si="611"/>
        <v>1</v>
      </c>
      <c r="CR296" s="81" t="str">
        <f t="shared" si="17"/>
        <v/>
      </c>
      <c r="CS296">
        <f t="shared" si="612"/>
        <v>18</v>
      </c>
      <c r="CT296">
        <f t="shared" si="615"/>
        <v>100</v>
      </c>
      <c r="CU296" t="str">
        <f t="shared" si="29"/>
        <v/>
      </c>
      <c r="CV296" s="81">
        <f t="shared" si="613"/>
        <v>100</v>
      </c>
      <c r="CW296" s="81">
        <f>(CV296/25)^1.5*(Calculator!$BU$4/10000)*CW$5</f>
        <v>20.656847999999979</v>
      </c>
      <c r="CX296" t="str">
        <f t="shared" si="614"/>
        <v>$100</v>
      </c>
    </row>
    <row r="297" spans="2:102" x14ac:dyDescent="0.25">
      <c r="B297" s="115" t="s">
        <v>233</v>
      </c>
      <c r="C297" s="13">
        <v>46224.416666666664</v>
      </c>
      <c r="D297">
        <v>29213</v>
      </c>
      <c r="E297" s="54" t="s">
        <v>237</v>
      </c>
      <c r="F297" s="54" t="s">
        <v>682</v>
      </c>
      <c r="G297" s="54" t="s">
        <v>697</v>
      </c>
      <c r="H297" s="55">
        <v>13.700000000000001</v>
      </c>
      <c r="I297" s="55">
        <v>13.3</v>
      </c>
      <c r="J297" s="55">
        <v>13.100000000000001</v>
      </c>
      <c r="K297" s="54"/>
      <c r="L297" s="56" t="b">
        <v>0</v>
      </c>
      <c r="M297" s="56" t="b">
        <v>0</v>
      </c>
      <c r="N297" s="54">
        <v>1</v>
      </c>
      <c r="O297" s="54" t="s">
        <v>228</v>
      </c>
      <c r="P297" s="54">
        <v>37</v>
      </c>
      <c r="Q297" s="54">
        <v>6</v>
      </c>
      <c r="R297" s="54">
        <v>100</v>
      </c>
      <c r="S297" s="54" t="s">
        <v>684</v>
      </c>
      <c r="T297" s="54"/>
      <c r="U297" s="54" t="s">
        <v>701</v>
      </c>
      <c r="V297" s="54" t="s">
        <v>702</v>
      </c>
      <c r="W297" s="54" t="b">
        <v>0</v>
      </c>
      <c r="X297" s="54"/>
      <c r="Y297" s="57" t="s">
        <v>703</v>
      </c>
      <c r="Z297" s="54" t="s">
        <v>688</v>
      </c>
      <c r="AA297" s="54"/>
      <c r="AB297" s="54" t="s">
        <v>689</v>
      </c>
      <c r="AC297" s="56" t="b">
        <v>1</v>
      </c>
      <c r="AD297" s="56" t="b">
        <v>0</v>
      </c>
      <c r="AE297" s="54" t="s">
        <v>303</v>
      </c>
      <c r="AF297" s="58">
        <v>46224</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6.7900000000000002E-2</v>
      </c>
      <c r="BC297" s="60">
        <v>4.0599999999999996</v>
      </c>
      <c r="BD297" s="61">
        <v>6.1196E-2</v>
      </c>
      <c r="BE297" s="62" t="s">
        <v>293</v>
      </c>
      <c r="BF297" s="35">
        <f t="shared" si="603"/>
        <v>4.0600000000000005</v>
      </c>
      <c r="BG297" s="35">
        <f t="shared" si="603"/>
        <v>6.0295000000000001E-2</v>
      </c>
      <c r="BH297" s="35" t="str">
        <f t="shared" si="604"/>
        <v>Low</v>
      </c>
      <c r="BI297" s="110">
        <f t="shared" si="605"/>
        <v>0</v>
      </c>
      <c r="BJ297" s="83">
        <f>VLOOKUP($F297,REP_Info!$D$6:$H$250,5,FALSE)</f>
        <v>1.159</v>
      </c>
      <c r="BK297" s="30">
        <f t="shared" si="606"/>
        <v>13.631500000000001</v>
      </c>
      <c r="BL297" s="30">
        <f t="shared" si="606"/>
        <v>13.2255</v>
      </c>
      <c r="BM297" s="30">
        <f t="shared" si="606"/>
        <v>13.022500000000003</v>
      </c>
      <c r="BN297" s="29">
        <f t="shared" si="606"/>
        <v>12.954833333333333</v>
      </c>
      <c r="BO297" s="85" t="str">
        <f t="shared" si="2"/>
        <v>$$$</v>
      </c>
      <c r="BP297" s="88" t="str">
        <f t="shared" si="607"/>
        <v>$$$</v>
      </c>
      <c r="BQ297" s="88" t="str">
        <f t="shared" si="4"/>
        <v>$$$</v>
      </c>
      <c r="BR297" s="88" t="str">
        <f t="shared" si="5"/>
        <v>$$$</v>
      </c>
      <c r="BS297" s="29" t="e">
        <f t="shared" si="608"/>
        <v>#N/A</v>
      </c>
      <c r="BT297" s="29" t="e">
        <f t="shared" si="608"/>
        <v>#N/A</v>
      </c>
      <c r="BU297" s="29" t="e">
        <f t="shared" si="608"/>
        <v>#N/A</v>
      </c>
      <c r="BV297" s="29" t="e">
        <f t="shared" si="608"/>
        <v>#N/A</v>
      </c>
      <c r="BW297" s="29" t="e">
        <f t="shared" si="608"/>
        <v>#N/A</v>
      </c>
      <c r="BX297" s="29" t="e">
        <f t="shared" si="608"/>
        <v>#N/A</v>
      </c>
      <c r="BY297" s="29" t="e">
        <f t="shared" si="608"/>
        <v>#N/A</v>
      </c>
      <c r="BZ297" s="29" t="e">
        <f t="shared" si="608"/>
        <v>#N/A</v>
      </c>
      <c r="CA297" s="29" t="e">
        <f t="shared" si="608"/>
        <v>#N/A</v>
      </c>
      <c r="CB297" s="29" t="e">
        <f t="shared" si="608"/>
        <v>#N/A</v>
      </c>
      <c r="CC297" s="29" t="e">
        <f t="shared" si="608"/>
        <v>#N/A</v>
      </c>
      <c r="CD297" s="29" t="e">
        <f t="shared" si="608"/>
        <v>#N/A</v>
      </c>
      <c r="CE297" s="6" t="str">
        <f t="shared" si="616"/>
        <v/>
      </c>
      <c r="CF297" s="27" t="e">
        <f>IF(AND(CI297,NOT(AD297)),LOOKUP(CF$5,{0,750,1500},H297:J297),"")</f>
        <v>#N/A</v>
      </c>
      <c r="CG297" s="6" t="str">
        <f t="shared" si="617"/>
        <v/>
      </c>
      <c r="CH297" t="e">
        <f t="shared" si="609"/>
        <v>#N/A</v>
      </c>
      <c r="CI297" t="e">
        <f t="shared" si="610"/>
        <v>#N/A</v>
      </c>
      <c r="CJ297" s="6" t="e">
        <f t="shared" si="11"/>
        <v>#N/A</v>
      </c>
      <c r="CK297" s="6">
        <f t="shared" si="12"/>
        <v>1</v>
      </c>
      <c r="CL297" s="6">
        <f t="shared" si="26"/>
        <v>1</v>
      </c>
      <c r="CM297" s="6">
        <f t="shared" si="13"/>
        <v>1</v>
      </c>
      <c r="CN297" s="6">
        <f t="shared" si="14"/>
        <v>0</v>
      </c>
      <c r="CO297" s="6">
        <f t="shared" si="15"/>
        <v>1</v>
      </c>
      <c r="CP297" s="6">
        <f t="shared" si="16"/>
        <v>1</v>
      </c>
      <c r="CQ297" s="6">
        <f t="shared" si="611"/>
        <v>1</v>
      </c>
      <c r="CR297" s="81" t="str">
        <f t="shared" si="17"/>
        <v/>
      </c>
      <c r="CS297">
        <f t="shared" si="612"/>
        <v>18</v>
      </c>
      <c r="CT297">
        <f t="shared" si="615"/>
        <v>100</v>
      </c>
      <c r="CU297" t="str">
        <f t="shared" si="29"/>
        <v/>
      </c>
      <c r="CV297" s="81">
        <f t="shared" si="613"/>
        <v>100</v>
      </c>
      <c r="CW297" s="81">
        <f>(CV297/25)^1.5*(Calculator!$BU$4/10000)*CW$5</f>
        <v>20.656847999999979</v>
      </c>
      <c r="CX297" t="str">
        <f t="shared" si="614"/>
        <v>$100</v>
      </c>
    </row>
    <row r="298" spans="2:102" x14ac:dyDescent="0.25">
      <c r="B298" s="115" t="s">
        <v>233</v>
      </c>
      <c r="C298" s="13">
        <v>46236.341666666667</v>
      </c>
      <c r="D298">
        <v>31061</v>
      </c>
      <c r="E298" s="54" t="s">
        <v>235</v>
      </c>
      <c r="F298" s="54" t="s">
        <v>682</v>
      </c>
      <c r="G298" s="54" t="s">
        <v>2184</v>
      </c>
      <c r="H298" s="55">
        <v>24</v>
      </c>
      <c r="I298" s="55">
        <v>12</v>
      </c>
      <c r="J298" s="55">
        <v>13</v>
      </c>
      <c r="K298" s="54" t="s">
        <v>1755</v>
      </c>
      <c r="L298" s="56" t="b">
        <v>0</v>
      </c>
      <c r="M298" s="56" t="b">
        <v>0</v>
      </c>
      <c r="N298" s="54">
        <v>1</v>
      </c>
      <c r="O298" s="54" t="s">
        <v>228</v>
      </c>
      <c r="P298" s="54">
        <v>37</v>
      </c>
      <c r="Q298" s="54">
        <v>12</v>
      </c>
      <c r="R298" s="54">
        <v>200</v>
      </c>
      <c r="S298" s="54" t="s">
        <v>684</v>
      </c>
      <c r="T298" s="54"/>
      <c r="U298" s="54" t="s">
        <v>2155</v>
      </c>
      <c r="V298" s="54" t="s">
        <v>2185</v>
      </c>
      <c r="W298" s="54" t="b">
        <v>0</v>
      </c>
      <c r="X298" s="54"/>
      <c r="Y298" s="57" t="s">
        <v>2186</v>
      </c>
      <c r="Z298" s="54" t="s">
        <v>688</v>
      </c>
      <c r="AA298" s="54"/>
      <c r="AB298" s="54" t="s">
        <v>2187</v>
      </c>
      <c r="AC298" s="56" t="b">
        <v>1</v>
      </c>
      <c r="AD298" s="56" t="b">
        <v>1</v>
      </c>
      <c r="AE298" s="54" t="s">
        <v>303</v>
      </c>
      <c r="AF298" s="58">
        <v>46236</v>
      </c>
      <c r="AG298" s="62" t="s">
        <v>293</v>
      </c>
      <c r="AH298" s="54">
        <v>0</v>
      </c>
      <c r="AI298" s="54"/>
      <c r="AJ298" s="54"/>
      <c r="AK298" s="54"/>
      <c r="AL298" s="54"/>
      <c r="AM298" s="54">
        <v>120</v>
      </c>
      <c r="AN298" s="54"/>
      <c r="AO298" s="54"/>
      <c r="AP298" s="54"/>
      <c r="AQ298" s="54"/>
      <c r="AR298" s="54"/>
      <c r="AS298" s="54"/>
      <c r="AT298" s="54"/>
      <c r="AU298" s="54"/>
      <c r="AV298" s="54">
        <v>1000</v>
      </c>
      <c r="AW298" s="54"/>
      <c r="AX298" s="59"/>
      <c r="AY298" s="59"/>
      <c r="AZ298" s="59"/>
      <c r="BA298" s="59"/>
      <c r="BB298" s="59">
        <v>0.14000000000000001</v>
      </c>
      <c r="BC298" s="60"/>
      <c r="BD298" s="61"/>
      <c r="BE298" s="62" t="s">
        <v>762</v>
      </c>
      <c r="BF298" s="35">
        <f t="shared" si="603"/>
        <v>4.9000000000000004</v>
      </c>
      <c r="BG298" s="35">
        <f t="shared" si="603"/>
        <v>5.1461E-2</v>
      </c>
      <c r="BH298" s="35" t="str">
        <f t="shared" si="604"/>
        <v>High</v>
      </c>
      <c r="BI298" s="110">
        <f t="shared" si="605"/>
        <v>0</v>
      </c>
      <c r="BJ298" s="83">
        <f>VLOOKUP($F298,REP_Info!$D$6:$H$250,5,FALSE)</f>
        <v>1.159</v>
      </c>
      <c r="BK298" s="30">
        <f t="shared" si="606"/>
        <v>24</v>
      </c>
      <c r="BL298" s="30">
        <f t="shared" si="606"/>
        <v>12</v>
      </c>
      <c r="BM298" s="30">
        <f t="shared" si="606"/>
        <v>13</v>
      </c>
      <c r="BN298" s="29">
        <f t="shared" si="606"/>
        <v>13.333333333333334</v>
      </c>
      <c r="BO298" s="85" t="str">
        <f t="shared" si="2"/>
        <v>$$$</v>
      </c>
      <c r="BP298" s="88" t="str">
        <f t="shared" si="607"/>
        <v>$$$</v>
      </c>
      <c r="BQ298" s="88" t="str">
        <f t="shared" si="4"/>
        <v>$$$</v>
      </c>
      <c r="BR298" s="88" t="str">
        <f t="shared" si="5"/>
        <v>$$$</v>
      </c>
      <c r="BS298" s="29" t="e">
        <f t="shared" si="608"/>
        <v>#N/A</v>
      </c>
      <c r="BT298" s="29" t="e">
        <f t="shared" si="608"/>
        <v>#N/A</v>
      </c>
      <c r="BU298" s="29" t="e">
        <f t="shared" si="608"/>
        <v>#N/A</v>
      </c>
      <c r="BV298" s="29" t="e">
        <f t="shared" si="608"/>
        <v>#N/A</v>
      </c>
      <c r="BW298" s="29" t="e">
        <f t="shared" si="608"/>
        <v>#N/A</v>
      </c>
      <c r="BX298" s="29" t="e">
        <f t="shared" si="608"/>
        <v>#N/A</v>
      </c>
      <c r="BY298" s="29" t="e">
        <f t="shared" si="608"/>
        <v>#N/A</v>
      </c>
      <c r="BZ298" s="29" t="e">
        <f t="shared" si="608"/>
        <v>#N/A</v>
      </c>
      <c r="CA298" s="29" t="e">
        <f t="shared" si="608"/>
        <v>#N/A</v>
      </c>
      <c r="CB298" s="29" t="e">
        <f t="shared" si="608"/>
        <v>#N/A</v>
      </c>
      <c r="CC298" s="29" t="e">
        <f t="shared" si="608"/>
        <v>#N/A</v>
      </c>
      <c r="CD298" s="29" t="e">
        <f t="shared" si="608"/>
        <v>#N/A</v>
      </c>
      <c r="CE298" s="6" t="str">
        <f t="shared" si="616"/>
        <v/>
      </c>
      <c r="CF298" s="27" t="e">
        <f>IF(AND(CI298,NOT(AD298)),LOOKUP(CF$5,{0,750,1500},H298:J298),"")</f>
        <v>#N/A</v>
      </c>
      <c r="CG298" s="6" t="str">
        <f t="shared" si="617"/>
        <v/>
      </c>
      <c r="CH298" t="e">
        <f t="shared" si="609"/>
        <v>#N/A</v>
      </c>
      <c r="CI298" t="e">
        <f t="shared" si="610"/>
        <v>#N/A</v>
      </c>
      <c r="CJ298" s="6" t="e">
        <f t="shared" si="11"/>
        <v>#N/A</v>
      </c>
      <c r="CK298" s="6">
        <f t="shared" si="12"/>
        <v>1</v>
      </c>
      <c r="CL298" s="6">
        <f t="shared" si="26"/>
        <v>1</v>
      </c>
      <c r="CM298" s="6">
        <f t="shared" si="13"/>
        <v>1</v>
      </c>
      <c r="CN298" s="6">
        <f t="shared" si="14"/>
        <v>1</v>
      </c>
      <c r="CO298" s="6">
        <f t="shared" si="15"/>
        <v>1</v>
      </c>
      <c r="CP298" s="6">
        <f t="shared" si="16"/>
        <v>1</v>
      </c>
      <c r="CQ298" s="6">
        <f t="shared" si="611"/>
        <v>1</v>
      </c>
      <c r="CR298" s="81" t="str">
        <f t="shared" si="17"/>
        <v/>
      </c>
      <c r="CS298">
        <f t="shared" si="612"/>
        <v>0</v>
      </c>
      <c r="CT298">
        <f t="shared" si="615"/>
        <v>200</v>
      </c>
      <c r="CU298" t="str">
        <f t="shared" si="29"/>
        <v/>
      </c>
      <c r="CV298" s="81">
        <f t="shared" si="613"/>
        <v>200</v>
      </c>
      <c r="CW298" s="81">
        <f>(CV298/25)^1.5*(Calculator!$BU$4/10000)*CW$5</f>
        <v>58.426389194959008</v>
      </c>
      <c r="CX298" t="str">
        <f t="shared" si="614"/>
        <v>$200</v>
      </c>
    </row>
    <row r="299" spans="2:102" x14ac:dyDescent="0.25">
      <c r="B299" s="115" t="s">
        <v>233</v>
      </c>
      <c r="C299" s="13">
        <v>46236.341666666667</v>
      </c>
      <c r="D299">
        <v>31066</v>
      </c>
      <c r="E299" s="54" t="s">
        <v>237</v>
      </c>
      <c r="F299" s="54" t="s">
        <v>682</v>
      </c>
      <c r="G299" s="54" t="s">
        <v>2184</v>
      </c>
      <c r="H299" s="55">
        <v>26</v>
      </c>
      <c r="I299" s="55">
        <v>13</v>
      </c>
      <c r="J299" s="55">
        <v>13.5</v>
      </c>
      <c r="K299" s="54" t="s">
        <v>1755</v>
      </c>
      <c r="L299" s="56" t="b">
        <v>0</v>
      </c>
      <c r="M299" s="56" t="b">
        <v>0</v>
      </c>
      <c r="N299" s="54">
        <v>1</v>
      </c>
      <c r="O299" s="54" t="s">
        <v>228</v>
      </c>
      <c r="P299" s="54">
        <v>37</v>
      </c>
      <c r="Q299" s="54">
        <v>12</v>
      </c>
      <c r="R299" s="54">
        <v>200</v>
      </c>
      <c r="S299" s="54" t="s">
        <v>684</v>
      </c>
      <c r="T299" s="54"/>
      <c r="U299" s="54" t="s">
        <v>2156</v>
      </c>
      <c r="V299" s="54" t="s">
        <v>2188</v>
      </c>
      <c r="W299" s="54" t="b">
        <v>0</v>
      </c>
      <c r="X299" s="54"/>
      <c r="Y299" s="57" t="s">
        <v>2189</v>
      </c>
      <c r="Z299" s="54" t="s">
        <v>688</v>
      </c>
      <c r="AA299" s="54"/>
      <c r="AB299" s="54" t="s">
        <v>2187</v>
      </c>
      <c r="AC299" s="56" t="b">
        <v>1</v>
      </c>
      <c r="AD299" s="56" t="b">
        <v>1</v>
      </c>
      <c r="AE299" s="54" t="s">
        <v>303</v>
      </c>
      <c r="AF299" s="58">
        <v>46236</v>
      </c>
      <c r="AG299" s="62" t="s">
        <v>293</v>
      </c>
      <c r="AH299" s="54">
        <v>0</v>
      </c>
      <c r="AI299" s="54"/>
      <c r="AJ299" s="54"/>
      <c r="AK299" s="54"/>
      <c r="AL299" s="54"/>
      <c r="AM299" s="54">
        <v>130</v>
      </c>
      <c r="AN299" s="54"/>
      <c r="AO299" s="54"/>
      <c r="AP299" s="54"/>
      <c r="AQ299" s="54"/>
      <c r="AR299" s="54"/>
      <c r="AS299" s="54"/>
      <c r="AT299" s="54"/>
      <c r="AU299" s="54"/>
      <c r="AV299" s="54">
        <v>1000</v>
      </c>
      <c r="AW299" s="54"/>
      <c r="AX299" s="59"/>
      <c r="AY299" s="59"/>
      <c r="AZ299" s="59"/>
      <c r="BA299" s="59"/>
      <c r="BB299" s="59">
        <v>0.14000000000000001</v>
      </c>
      <c r="BC299" s="60"/>
      <c r="BD299" s="61"/>
      <c r="BE299" s="62" t="s">
        <v>762</v>
      </c>
      <c r="BF299" s="35">
        <f t="shared" si="603"/>
        <v>4.0600000000000005</v>
      </c>
      <c r="BG299" s="35">
        <f t="shared" si="603"/>
        <v>6.0295000000000001E-2</v>
      </c>
      <c r="BH299" s="35" t="str">
        <f t="shared" si="604"/>
        <v>High</v>
      </c>
      <c r="BI299" s="110">
        <f t="shared" si="605"/>
        <v>0</v>
      </c>
      <c r="BJ299" s="83">
        <f>VLOOKUP($F299,REP_Info!$D$6:$H$250,5,FALSE)</f>
        <v>1.159</v>
      </c>
      <c r="BK299" s="30">
        <f t="shared" si="606"/>
        <v>26</v>
      </c>
      <c r="BL299" s="30">
        <f t="shared" si="606"/>
        <v>13</v>
      </c>
      <c r="BM299" s="30">
        <f t="shared" si="606"/>
        <v>13.5</v>
      </c>
      <c r="BN299" s="29">
        <f t="shared" si="606"/>
        <v>13.666666666666666</v>
      </c>
      <c r="BO299" s="85" t="str">
        <f t="shared" si="2"/>
        <v>$$$</v>
      </c>
      <c r="BP299" s="88" t="str">
        <f t="shared" si="607"/>
        <v>$$$</v>
      </c>
      <c r="BQ299" s="88" t="str">
        <f t="shared" si="4"/>
        <v>$$$</v>
      </c>
      <c r="BR299" s="88" t="str">
        <f t="shared" si="5"/>
        <v>$$$</v>
      </c>
      <c r="BS299" s="29" t="e">
        <f t="shared" si="608"/>
        <v>#N/A</v>
      </c>
      <c r="BT299" s="29" t="e">
        <f t="shared" si="608"/>
        <v>#N/A</v>
      </c>
      <c r="BU299" s="29" t="e">
        <f t="shared" si="608"/>
        <v>#N/A</v>
      </c>
      <c r="BV299" s="29" t="e">
        <f t="shared" si="608"/>
        <v>#N/A</v>
      </c>
      <c r="BW299" s="29" t="e">
        <f t="shared" si="608"/>
        <v>#N/A</v>
      </c>
      <c r="BX299" s="29" t="e">
        <f t="shared" si="608"/>
        <v>#N/A</v>
      </c>
      <c r="BY299" s="29" t="e">
        <f t="shared" si="608"/>
        <v>#N/A</v>
      </c>
      <c r="BZ299" s="29" t="e">
        <f t="shared" si="608"/>
        <v>#N/A</v>
      </c>
      <c r="CA299" s="29" t="e">
        <f t="shared" si="608"/>
        <v>#N/A</v>
      </c>
      <c r="CB299" s="29" t="e">
        <f t="shared" si="608"/>
        <v>#N/A</v>
      </c>
      <c r="CC299" s="29" t="e">
        <f t="shared" si="608"/>
        <v>#N/A</v>
      </c>
      <c r="CD299" s="29" t="e">
        <f t="shared" si="608"/>
        <v>#N/A</v>
      </c>
      <c r="CE299" s="6" t="str">
        <f t="shared" si="616"/>
        <v/>
      </c>
      <c r="CF299" s="27" t="e">
        <f>IF(AND(CI299,NOT(AD299)),LOOKUP(CF$5,{0,750,1500},H299:J299),"")</f>
        <v>#N/A</v>
      </c>
      <c r="CG299" s="6" t="str">
        <f t="shared" si="617"/>
        <v/>
      </c>
      <c r="CH299" t="e">
        <f t="shared" si="609"/>
        <v>#N/A</v>
      </c>
      <c r="CI299" t="e">
        <f t="shared" si="610"/>
        <v>#N/A</v>
      </c>
      <c r="CJ299" s="6" t="e">
        <f t="shared" si="11"/>
        <v>#N/A</v>
      </c>
      <c r="CK299" s="6">
        <f t="shared" si="12"/>
        <v>1</v>
      </c>
      <c r="CL299" s="6">
        <f t="shared" si="26"/>
        <v>1</v>
      </c>
      <c r="CM299" s="6">
        <f t="shared" si="13"/>
        <v>1</v>
      </c>
      <c r="CN299" s="6">
        <f t="shared" si="14"/>
        <v>1</v>
      </c>
      <c r="CO299" s="6">
        <f t="shared" si="15"/>
        <v>1</v>
      </c>
      <c r="CP299" s="6">
        <f t="shared" si="16"/>
        <v>1</v>
      </c>
      <c r="CQ299" s="6">
        <f t="shared" si="611"/>
        <v>1</v>
      </c>
      <c r="CR299" s="81" t="str">
        <f t="shared" si="17"/>
        <v/>
      </c>
      <c r="CS299">
        <f t="shared" si="612"/>
        <v>0</v>
      </c>
      <c r="CT299">
        <f t="shared" si="615"/>
        <v>200</v>
      </c>
      <c r="CU299" t="str">
        <f t="shared" si="29"/>
        <v/>
      </c>
      <c r="CV299" s="81">
        <f t="shared" si="613"/>
        <v>200</v>
      </c>
      <c r="CW299" s="81">
        <f>(CV299/25)^1.5*(Calculator!$BU$4/10000)*CW$5</f>
        <v>58.426389194959008</v>
      </c>
      <c r="CX299" t="str">
        <f t="shared" si="614"/>
        <v>$200</v>
      </c>
    </row>
    <row r="300" spans="2:102" x14ac:dyDescent="0.25">
      <c r="B300" s="115" t="s">
        <v>233</v>
      </c>
      <c r="C300" s="13">
        <v>46236.341666666667</v>
      </c>
      <c r="D300">
        <v>17263</v>
      </c>
      <c r="E300" s="54" t="s">
        <v>237</v>
      </c>
      <c r="F300" s="54" t="s">
        <v>704</v>
      </c>
      <c r="G300" s="54" t="s">
        <v>1854</v>
      </c>
      <c r="H300" s="55">
        <v>12.3</v>
      </c>
      <c r="I300" s="55">
        <v>11.5</v>
      </c>
      <c r="J300" s="55">
        <v>11.1</v>
      </c>
      <c r="K300" s="54"/>
      <c r="L300" s="56" t="b">
        <v>0</v>
      </c>
      <c r="M300" s="56" t="b">
        <v>1</v>
      </c>
      <c r="N300" s="54">
        <v>1</v>
      </c>
      <c r="O300" s="54" t="s">
        <v>228</v>
      </c>
      <c r="P300" s="54">
        <v>31</v>
      </c>
      <c r="Q300" s="54">
        <v>5</v>
      </c>
      <c r="R300" s="54">
        <v>175</v>
      </c>
      <c r="S300" s="54" t="s">
        <v>705</v>
      </c>
      <c r="T300" s="54" t="s">
        <v>706</v>
      </c>
      <c r="U300" s="54" t="s">
        <v>1839</v>
      </c>
      <c r="V300" s="54" t="s">
        <v>707</v>
      </c>
      <c r="W300" s="54" t="b">
        <v>0</v>
      </c>
      <c r="X300" s="54"/>
      <c r="Y300" s="57" t="s">
        <v>1855</v>
      </c>
      <c r="Z300" s="54" t="s">
        <v>708</v>
      </c>
      <c r="AA300" s="54"/>
      <c r="AB300" s="54" t="s">
        <v>709</v>
      </c>
      <c r="AC300" s="56" t="b">
        <v>1</v>
      </c>
      <c r="AD300" s="56" t="b">
        <v>0</v>
      </c>
      <c r="AE300" s="54" t="s">
        <v>303</v>
      </c>
      <c r="AF300" s="58">
        <v>46236</v>
      </c>
      <c r="AG300" s="62" t="s">
        <v>293</v>
      </c>
      <c r="AH300" s="54">
        <v>0</v>
      </c>
      <c r="AI300" s="54"/>
      <c r="AJ300" s="54"/>
      <c r="AK300" s="54"/>
      <c r="AL300" s="54"/>
      <c r="AM300" s="54">
        <v>9.9980000000000011</v>
      </c>
      <c r="AN300" s="54"/>
      <c r="AO300" s="54"/>
      <c r="AP300" s="54"/>
      <c r="AQ300" s="54"/>
      <c r="AR300" s="54"/>
      <c r="AS300" s="54"/>
      <c r="AT300" s="54"/>
      <c r="AU300" s="54"/>
      <c r="AV300" s="54"/>
      <c r="AW300" s="54"/>
      <c r="AX300" s="59"/>
      <c r="AY300" s="59"/>
      <c r="AZ300" s="59"/>
      <c r="BA300" s="59"/>
      <c r="BB300" s="59">
        <v>4.6230000000000007E-2</v>
      </c>
      <c r="BC300" s="60">
        <v>4.0599999999999996</v>
      </c>
      <c r="BD300" s="61">
        <v>6.0295000000000001E-2</v>
      </c>
      <c r="BE300" s="62" t="e">
        <v>#N/A</v>
      </c>
      <c r="BF300" s="35">
        <f t="shared" si="603"/>
        <v>4.0600000000000005</v>
      </c>
      <c r="BG300" s="35">
        <f t="shared" si="603"/>
        <v>6.0295000000000001E-2</v>
      </c>
      <c r="BH300" s="35" t="str">
        <f t="shared" si="604"/>
        <v>?</v>
      </c>
      <c r="BI300" s="110">
        <f t="shared" si="605"/>
        <v>0</v>
      </c>
      <c r="BJ300" s="83">
        <f>VLOOKUP($F300,REP_Info!$D$6:$H$250,5,FALSE)</f>
        <v>1.806</v>
      </c>
      <c r="BK300" s="30" t="e">
        <f t="shared" si="606"/>
        <v>#N/A</v>
      </c>
      <c r="BL300" s="30" t="e">
        <f t="shared" si="606"/>
        <v>#N/A</v>
      </c>
      <c r="BM300" s="30" t="e">
        <f t="shared" si="606"/>
        <v>#N/A</v>
      </c>
      <c r="BN300" s="29" t="e">
        <f t="shared" si="606"/>
        <v>#N/A</v>
      </c>
      <c r="BO300" s="85" t="str">
        <f t="shared" si="2"/>
        <v>$$$</v>
      </c>
      <c r="BP300" s="88" t="str">
        <f t="shared" si="607"/>
        <v>$$$</v>
      </c>
      <c r="BQ300" s="88" t="str">
        <f t="shared" si="4"/>
        <v>$$$</v>
      </c>
      <c r="BR300" s="88" t="str">
        <f t="shared" si="5"/>
        <v>$$$</v>
      </c>
      <c r="BS300" s="29" t="e">
        <f t="shared" si="608"/>
        <v>#N/A</v>
      </c>
      <c r="BT300" s="29" t="e">
        <f t="shared" si="608"/>
        <v>#N/A</v>
      </c>
      <c r="BU300" s="29" t="e">
        <f t="shared" si="608"/>
        <v>#N/A</v>
      </c>
      <c r="BV300" s="29" t="e">
        <f t="shared" si="608"/>
        <v>#N/A</v>
      </c>
      <c r="BW300" s="29" t="e">
        <f t="shared" si="608"/>
        <v>#N/A</v>
      </c>
      <c r="BX300" s="29" t="e">
        <f t="shared" si="608"/>
        <v>#N/A</v>
      </c>
      <c r="BY300" s="29" t="e">
        <f t="shared" si="608"/>
        <v>#N/A</v>
      </c>
      <c r="BZ300" s="29" t="e">
        <f t="shared" si="608"/>
        <v>#N/A</v>
      </c>
      <c r="CA300" s="29" t="e">
        <f t="shared" si="608"/>
        <v>#N/A</v>
      </c>
      <c r="CB300" s="29" t="e">
        <f t="shared" si="608"/>
        <v>#N/A</v>
      </c>
      <c r="CC300" s="29" t="e">
        <f t="shared" si="608"/>
        <v>#N/A</v>
      </c>
      <c r="CD300" s="29" t="e">
        <f t="shared" si="608"/>
        <v>#N/A</v>
      </c>
      <c r="CE300" s="6" t="str">
        <f t="shared" si="616"/>
        <v/>
      </c>
      <c r="CF300" s="27" t="e">
        <f>IF(AND(CI300,NOT(AD300)),LOOKUP(CF$5,{0,750,1500},H300:J300),"")</f>
        <v>#N/A</v>
      </c>
      <c r="CG300" s="6" t="str">
        <f t="shared" si="617"/>
        <v/>
      </c>
      <c r="CH300" t="e">
        <f t="shared" si="609"/>
        <v>#N/A</v>
      </c>
      <c r="CI300" t="e">
        <f t="shared" si="610"/>
        <v>#N/A</v>
      </c>
      <c r="CJ300" s="6" t="e">
        <f t="shared" si="11"/>
        <v>#N/A</v>
      </c>
      <c r="CK300" s="6">
        <f t="shared" si="12"/>
        <v>1</v>
      </c>
      <c r="CL300" s="6">
        <f t="shared" si="26"/>
        <v>1</v>
      </c>
      <c r="CM300" s="6">
        <f t="shared" si="13"/>
        <v>1</v>
      </c>
      <c r="CN300" s="6">
        <f t="shared" si="14"/>
        <v>0</v>
      </c>
      <c r="CO300" s="6">
        <f t="shared" si="15"/>
        <v>1</v>
      </c>
      <c r="CP300" s="6">
        <f t="shared" si="16"/>
        <v>1</v>
      </c>
      <c r="CQ300" s="6">
        <f t="shared" si="611"/>
        <v>1</v>
      </c>
      <c r="CR300" s="81" t="str">
        <f t="shared" si="17"/>
        <v/>
      </c>
      <c r="CS300">
        <f t="shared" si="612"/>
        <v>25.2</v>
      </c>
      <c r="CT300">
        <f t="shared" si="615"/>
        <v>175</v>
      </c>
      <c r="CU300" t="str">
        <f t="shared" si="29"/>
        <v/>
      </c>
      <c r="CV300" s="81">
        <f t="shared" si="613"/>
        <v>175</v>
      </c>
      <c r="CW300" s="81">
        <f>(CV300/25)^1.5*(Calculator!$BU$4/10000)*CW$5</f>
        <v>47.821272343654172</v>
      </c>
      <c r="CX300" t="str">
        <f t="shared" si="614"/>
        <v>$175</v>
      </c>
    </row>
    <row r="301" spans="2:102" x14ac:dyDescent="0.25">
      <c r="B301" s="115" t="s">
        <v>233</v>
      </c>
      <c r="C301" s="13">
        <v>46236.341666666667</v>
      </c>
      <c r="D301">
        <v>17267</v>
      </c>
      <c r="E301" s="54" t="s">
        <v>235</v>
      </c>
      <c r="F301" s="54" t="s">
        <v>704</v>
      </c>
      <c r="G301" s="54" t="s">
        <v>1854</v>
      </c>
      <c r="H301" s="55">
        <v>11.600000000000001</v>
      </c>
      <c r="I301" s="55">
        <v>10.7</v>
      </c>
      <c r="J301" s="55">
        <v>10.199999999999999</v>
      </c>
      <c r="K301" s="54"/>
      <c r="L301" s="56" t="b">
        <v>0</v>
      </c>
      <c r="M301" s="56" t="b">
        <v>1</v>
      </c>
      <c r="N301" s="54">
        <v>1</v>
      </c>
      <c r="O301" s="54" t="s">
        <v>228</v>
      </c>
      <c r="P301" s="54">
        <v>31</v>
      </c>
      <c r="Q301" s="54">
        <v>5</v>
      </c>
      <c r="R301" s="54">
        <v>175</v>
      </c>
      <c r="S301" s="54" t="s">
        <v>705</v>
      </c>
      <c r="T301" s="54" t="s">
        <v>706</v>
      </c>
      <c r="U301" s="54" t="s">
        <v>1838</v>
      </c>
      <c r="V301" s="54" t="s">
        <v>707</v>
      </c>
      <c r="W301" s="54" t="b">
        <v>0</v>
      </c>
      <c r="X301" s="54"/>
      <c r="Y301" s="57" t="s">
        <v>1856</v>
      </c>
      <c r="Z301" s="54" t="s">
        <v>708</v>
      </c>
      <c r="AA301" s="54"/>
      <c r="AB301" s="54" t="s">
        <v>709</v>
      </c>
      <c r="AC301" s="56" t="b">
        <v>1</v>
      </c>
      <c r="AD301" s="56" t="b">
        <v>0</v>
      </c>
      <c r="AE301" s="54" t="s">
        <v>303</v>
      </c>
      <c r="AF301" s="58">
        <v>46236</v>
      </c>
      <c r="AG301" s="62" t="s">
        <v>293</v>
      </c>
      <c r="AH301" s="54">
        <v>0</v>
      </c>
      <c r="AI301" s="54"/>
      <c r="AJ301" s="54"/>
      <c r="AK301" s="54"/>
      <c r="AL301" s="54"/>
      <c r="AM301" s="54">
        <v>9.9980000000000011</v>
      </c>
      <c r="AN301" s="54"/>
      <c r="AO301" s="54"/>
      <c r="AP301" s="54"/>
      <c r="AQ301" s="54"/>
      <c r="AR301" s="54"/>
      <c r="AS301" s="54"/>
      <c r="AT301" s="54"/>
      <c r="AU301" s="54"/>
      <c r="AV301" s="54"/>
      <c r="AW301" s="54"/>
      <c r="AX301" s="59"/>
      <c r="AY301" s="59"/>
      <c r="AZ301" s="59"/>
      <c r="BA301" s="59"/>
      <c r="BB301" s="59">
        <v>4.6230000000000007E-2</v>
      </c>
      <c r="BC301" s="60">
        <v>4.9000000000000004</v>
      </c>
      <c r="BD301" s="61">
        <v>5.1461E-2</v>
      </c>
      <c r="BE301" s="62" t="e">
        <v>#N/A</v>
      </c>
      <c r="BF301" s="35">
        <f t="shared" si="603"/>
        <v>4.9000000000000004</v>
      </c>
      <c r="BG301" s="35">
        <f t="shared" si="603"/>
        <v>5.1461E-2</v>
      </c>
      <c r="BH301" s="35" t="str">
        <f t="shared" si="604"/>
        <v>?</v>
      </c>
      <c r="BI301" s="110">
        <f t="shared" si="605"/>
        <v>0</v>
      </c>
      <c r="BJ301" s="83">
        <f>VLOOKUP($F301,REP_Info!$D$6:$H$250,5,FALSE)</f>
        <v>1.806</v>
      </c>
      <c r="BK301" s="30" t="e">
        <f t="shared" si="606"/>
        <v>#N/A</v>
      </c>
      <c r="BL301" s="30" t="e">
        <f t="shared" si="606"/>
        <v>#N/A</v>
      </c>
      <c r="BM301" s="30" t="e">
        <f t="shared" si="606"/>
        <v>#N/A</v>
      </c>
      <c r="BN301" s="29" t="e">
        <f t="shared" si="606"/>
        <v>#N/A</v>
      </c>
      <c r="BO301" s="85" t="str">
        <f t="shared" si="2"/>
        <v>$$$</v>
      </c>
      <c r="BP301" s="88" t="str">
        <f t="shared" si="607"/>
        <v>$$$</v>
      </c>
      <c r="BQ301" s="88" t="str">
        <f t="shared" si="4"/>
        <v>$$$</v>
      </c>
      <c r="BR301" s="88" t="str">
        <f t="shared" si="5"/>
        <v>$$$</v>
      </c>
      <c r="BS301" s="29" t="e">
        <f t="shared" si="608"/>
        <v>#N/A</v>
      </c>
      <c r="BT301" s="29" t="e">
        <f t="shared" si="608"/>
        <v>#N/A</v>
      </c>
      <c r="BU301" s="29" t="e">
        <f t="shared" si="608"/>
        <v>#N/A</v>
      </c>
      <c r="BV301" s="29" t="e">
        <f t="shared" si="608"/>
        <v>#N/A</v>
      </c>
      <c r="BW301" s="29" t="e">
        <f t="shared" si="608"/>
        <v>#N/A</v>
      </c>
      <c r="BX301" s="29" t="e">
        <f t="shared" si="608"/>
        <v>#N/A</v>
      </c>
      <c r="BY301" s="29" t="e">
        <f t="shared" si="608"/>
        <v>#N/A</v>
      </c>
      <c r="BZ301" s="29" t="e">
        <f t="shared" si="608"/>
        <v>#N/A</v>
      </c>
      <c r="CA301" s="29" t="e">
        <f t="shared" si="608"/>
        <v>#N/A</v>
      </c>
      <c r="CB301" s="29" t="e">
        <f t="shared" si="608"/>
        <v>#N/A</v>
      </c>
      <c r="CC301" s="29" t="e">
        <f t="shared" si="608"/>
        <v>#N/A</v>
      </c>
      <c r="CD301" s="29" t="e">
        <f t="shared" si="608"/>
        <v>#N/A</v>
      </c>
      <c r="CE301" s="6" t="str">
        <f t="shared" si="616"/>
        <v/>
      </c>
      <c r="CF301" s="27" t="e">
        <f>IF(AND(CI301,NOT(AD301)),LOOKUP(CF$5,{0,750,1500},H301:J301),"")</f>
        <v>#N/A</v>
      </c>
      <c r="CG301" s="6" t="str">
        <f t="shared" si="617"/>
        <v/>
      </c>
      <c r="CH301" t="e">
        <f t="shared" si="609"/>
        <v>#N/A</v>
      </c>
      <c r="CI301" t="e">
        <f t="shared" si="610"/>
        <v>#N/A</v>
      </c>
      <c r="CJ301" s="6" t="e">
        <f t="shared" si="11"/>
        <v>#N/A</v>
      </c>
      <c r="CK301" s="6">
        <f t="shared" si="12"/>
        <v>1</v>
      </c>
      <c r="CL301" s="6">
        <f t="shared" si="26"/>
        <v>1</v>
      </c>
      <c r="CM301" s="6">
        <f t="shared" si="13"/>
        <v>1</v>
      </c>
      <c r="CN301" s="6">
        <f t="shared" si="14"/>
        <v>0</v>
      </c>
      <c r="CO301" s="6">
        <f t="shared" si="15"/>
        <v>1</v>
      </c>
      <c r="CP301" s="6">
        <f t="shared" si="16"/>
        <v>1</v>
      </c>
      <c r="CQ301" s="6">
        <f t="shared" si="611"/>
        <v>1</v>
      </c>
      <c r="CR301" s="81" t="str">
        <f t="shared" si="17"/>
        <v/>
      </c>
      <c r="CS301">
        <f t="shared" si="612"/>
        <v>25.2</v>
      </c>
      <c r="CT301">
        <f t="shared" si="615"/>
        <v>175</v>
      </c>
      <c r="CU301" t="str">
        <f t="shared" si="29"/>
        <v/>
      </c>
      <c r="CV301" s="81">
        <f t="shared" si="613"/>
        <v>175</v>
      </c>
      <c r="CW301" s="81">
        <f>(CV301/25)^1.5*(Calculator!$BU$4/10000)*CW$5</f>
        <v>47.821272343654172</v>
      </c>
      <c r="CX301" t="str">
        <f t="shared" si="614"/>
        <v>$175</v>
      </c>
    </row>
    <row r="302" spans="2:102" x14ac:dyDescent="0.25">
      <c r="B302" s="115" t="s">
        <v>233</v>
      </c>
      <c r="C302" s="13">
        <v>46236.341666666667</v>
      </c>
      <c r="D302">
        <v>22159</v>
      </c>
      <c r="E302" s="54" t="s">
        <v>237</v>
      </c>
      <c r="F302" s="54" t="s">
        <v>704</v>
      </c>
      <c r="G302" s="54" t="s">
        <v>1857</v>
      </c>
      <c r="H302" s="55">
        <v>12.4</v>
      </c>
      <c r="I302" s="55">
        <v>11.5</v>
      </c>
      <c r="J302" s="55">
        <v>11.1</v>
      </c>
      <c r="K302" s="54"/>
      <c r="L302" s="56" t="b">
        <v>0</v>
      </c>
      <c r="M302" s="56" t="b">
        <v>0</v>
      </c>
      <c r="N302" s="54">
        <v>1</v>
      </c>
      <c r="O302" s="54" t="s">
        <v>228</v>
      </c>
      <c r="P302" s="54">
        <v>31</v>
      </c>
      <c r="Q302" s="54">
        <v>5</v>
      </c>
      <c r="R302" s="54">
        <v>175</v>
      </c>
      <c r="S302" s="54" t="s">
        <v>705</v>
      </c>
      <c r="T302" s="54" t="s">
        <v>710</v>
      </c>
      <c r="U302" s="54" t="s">
        <v>1841</v>
      </c>
      <c r="V302" s="54" t="s">
        <v>707</v>
      </c>
      <c r="W302" s="54" t="b">
        <v>0</v>
      </c>
      <c r="X302" s="54"/>
      <c r="Y302" s="57" t="s">
        <v>1858</v>
      </c>
      <c r="Z302" s="54" t="s">
        <v>708</v>
      </c>
      <c r="AA302" s="54"/>
      <c r="AB302" s="54" t="s">
        <v>709</v>
      </c>
      <c r="AC302" s="56" t="b">
        <v>1</v>
      </c>
      <c r="AD302" s="56" t="b">
        <v>0</v>
      </c>
      <c r="AE302" s="54" t="s">
        <v>303</v>
      </c>
      <c r="AF302" s="58">
        <v>46236</v>
      </c>
      <c r="AG302" s="62" t="s">
        <v>293</v>
      </c>
      <c r="AH302" s="54">
        <v>0</v>
      </c>
      <c r="AI302" s="54"/>
      <c r="AJ302" s="54"/>
      <c r="AK302" s="54"/>
      <c r="AL302" s="54"/>
      <c r="AM302" s="54">
        <v>9.9980000000000011</v>
      </c>
      <c r="AN302" s="54"/>
      <c r="AO302" s="54"/>
      <c r="AP302" s="54"/>
      <c r="AQ302" s="54"/>
      <c r="AR302" s="54"/>
      <c r="AS302" s="54"/>
      <c r="AT302" s="54"/>
      <c r="AU302" s="54"/>
      <c r="AV302" s="54"/>
      <c r="AW302" s="54"/>
      <c r="AX302" s="59"/>
      <c r="AY302" s="59"/>
      <c r="AZ302" s="59"/>
      <c r="BA302" s="59"/>
      <c r="BB302" s="59">
        <v>4.5999999999999999E-2</v>
      </c>
      <c r="BC302" s="60">
        <v>4.0599999999999996</v>
      </c>
      <c r="BD302" s="61">
        <v>6.0295000000000001E-2</v>
      </c>
      <c r="BE302" s="62" t="s">
        <v>293</v>
      </c>
      <c r="BF302" s="35">
        <f t="shared" ref="BF302:BG303" si="618">IF($E302=$E$4,BF$4,IF($E302=$E$5,BF$5,""))</f>
        <v>4.0600000000000005</v>
      </c>
      <c r="BG302" s="35">
        <f t="shared" si="618"/>
        <v>6.0295000000000001E-2</v>
      </c>
      <c r="BH302" s="35" t="str">
        <f t="shared" ref="BH302:BH303" si="619">IF(ISTEXT(BE302),IF(AND(AV302=0,SUM(AN302:AQ302)=0),IF(AM302&lt;=0,IF(BE302="Y","Low","Flat"),"Med"),"High"),"?")</f>
        <v>Med</v>
      </c>
      <c r="BI302" s="110">
        <f t="shared" ref="BI302:BI303" si="620">IF(ISNUMBER(AH302),0*BI$5*SIN((EDATE($A$3,$Q302)-DATE(YEAR(EDATE($A$3,$Q302)),1,0)-BI$4)*2*PI()/365),"")</f>
        <v>0</v>
      </c>
      <c r="BJ302" s="83">
        <f>VLOOKUP($F302,REP_Info!$D$6:$H$250,5,FALSE)</f>
        <v>1.806</v>
      </c>
      <c r="BK302" s="30">
        <f t="shared" ref="BK302:BN303" si="621">IF(BK$7&gt;0,(LOOKUP(BK$7,$AH302:$AL302,$AM302:$AQ302)+IF($AG302="Y",SUMPRODUCT($AX302:$BB302-$AW302:$BA302,BK$7-$AR302:$AV302,N(BK$7&gt;$AR302:$AV302)),BK$7*LOOKUP(BK$7,$AR302:$AV302,$AX302:$BB302))+IF($BE302="Y",$BF302,$BC302)+BK$7*IF($BE302="Y",$BG302,$BD302))*100/BK$7,"")</f>
        <v>13.4411</v>
      </c>
      <c r="BL302" s="30">
        <f t="shared" si="621"/>
        <v>12.035300000000001</v>
      </c>
      <c r="BM302" s="30">
        <f t="shared" si="621"/>
        <v>11.332400000000002</v>
      </c>
      <c r="BN302" s="29">
        <f t="shared" si="621"/>
        <v>11.098099999999999</v>
      </c>
      <c r="BO302" s="85" t="str">
        <f t="shared" ref="BO302:BO303" si="622">IFERROR(SUMPRODUCT($BS$7:$CD$7,$BS302:$CD302)/100,"$$$")</f>
        <v>$$$</v>
      </c>
      <c r="BP302" s="88" t="str">
        <f t="shared" ref="BP302:BP303" si="623">IFERROR(BO302*100/BO$5,"$$$")</f>
        <v>$$$</v>
      </c>
      <c r="BQ302" s="88" t="str">
        <f t="shared" ref="BQ302:BQ303" si="624">IFERROR(SUMPRODUCT($BS$7:$CD$7,$BS302:$CD302,--($BS$4:$CD$4&lt;=$Q302))/SUMPRODUCT(--($BS$4:$CD$4&lt;=$Q302),$BS$7:$CD$7),"$$$")</f>
        <v>$$$</v>
      </c>
      <c r="BR302" s="88" t="str">
        <f t="shared" ref="BR302:BR303" si="625">IFERROR($BQ302-$BF302*100*SUMPRODUCT(--($BS$4:$CD$4&lt;=$Q302))/SUMPRODUCT(--($BS$4:$CD$4&lt;=$Q302),$BS$7:$CD$7)-$BG302*100,"$$$")</f>
        <v>$$$</v>
      </c>
      <c r="BS302" s="29" t="e">
        <f t="shared" ref="BS302:CD303" si="626">IF($CI302,IF(BS$7&gt;0,IF(BS$4&gt;$Q302,$BF302+BS$7*(BS$5+$BG302+$BI302),LOOKUP(BS$7,$AH302:$AL302,$AM302:$AQ302)+IF($AG302="Y",SUMPRODUCT($AX302:$BB302-$AW302:$BA302,BS$7-$AR302:$AV302,N(BS$7&gt;$AR302:$AV302)),BS$7*LOOKUP(BS$7,$AR302:$AV302,$AX302:$BB302))+IF($BE302="Y",$BF302,$BC302)+BS$7*IF($BE302="Y",$BG302,$BD302))*100/BS$7,""),NA())</f>
        <v>#N/A</v>
      </c>
      <c r="BT302" s="29" t="e">
        <f t="shared" si="626"/>
        <v>#N/A</v>
      </c>
      <c r="BU302" s="29" t="e">
        <f t="shared" si="626"/>
        <v>#N/A</v>
      </c>
      <c r="BV302" s="29" t="e">
        <f t="shared" si="626"/>
        <v>#N/A</v>
      </c>
      <c r="BW302" s="29" t="e">
        <f t="shared" si="626"/>
        <v>#N/A</v>
      </c>
      <c r="BX302" s="29" t="e">
        <f t="shared" si="626"/>
        <v>#N/A</v>
      </c>
      <c r="BY302" s="29" t="e">
        <f t="shared" si="626"/>
        <v>#N/A</v>
      </c>
      <c r="BZ302" s="29" t="e">
        <f t="shared" si="626"/>
        <v>#N/A</v>
      </c>
      <c r="CA302" s="29" t="e">
        <f t="shared" si="626"/>
        <v>#N/A</v>
      </c>
      <c r="CB302" s="29" t="e">
        <f t="shared" si="626"/>
        <v>#N/A</v>
      </c>
      <c r="CC302" s="29" t="e">
        <f t="shared" si="626"/>
        <v>#N/A</v>
      </c>
      <c r="CD302" s="29" t="e">
        <f t="shared" si="626"/>
        <v>#N/A</v>
      </c>
      <c r="CE302" s="6" t="str">
        <f t="shared" si="616"/>
        <v/>
      </c>
      <c r="CF302" s="27" t="e">
        <f>IF(AND(CI302,NOT(AD302)),LOOKUP(CF$5,{0,750,1500},H302:J302),"")</f>
        <v>#N/A</v>
      </c>
      <c r="CG302" s="6" t="str">
        <f t="shared" si="617"/>
        <v/>
      </c>
      <c r="CH302" t="e">
        <f t="shared" ref="CH302:CH303" si="627">IF(CI302,IF(ISNUMBER(BO302),BO302,100000)+CV302/10000+IF(ISNUMBER(BJ302),BJ302,2)/10000-P302/100000+ROW()/10000000,"")</f>
        <v>#N/A</v>
      </c>
      <c r="CI302" t="e">
        <f t="shared" ref="CI302:CI303" si="628">PRODUCT(CJ302:CQ302)</f>
        <v>#N/A</v>
      </c>
      <c r="CJ302" s="6" t="e">
        <f t="shared" ref="CJ302:CJ303" si="629">IF($E302=CJ$5,1,0)</f>
        <v>#N/A</v>
      </c>
      <c r="CK302" s="6">
        <f t="shared" ref="CK302:CK303" si="630">IF(CK$5="[Any]",1,IF($F302=CK$5,1,0))</f>
        <v>1</v>
      </c>
      <c r="CL302" s="6">
        <f t="shared" si="26"/>
        <v>1</v>
      </c>
      <c r="CM302" s="6">
        <f t="shared" ref="CM302:CM303" si="631">IF($O302="Fixed",1,0)</f>
        <v>1</v>
      </c>
      <c r="CN302" s="6">
        <f t="shared" ref="CN302:CN303" si="632">IF($Q302&gt;=CN$5,1,0)</f>
        <v>0</v>
      </c>
      <c r="CO302" s="6">
        <f t="shared" ref="CO302:CO303" si="633">IF($Q302&lt;=CO$5,1,0)</f>
        <v>1</v>
      </c>
      <c r="CP302" s="6">
        <f t="shared" ref="CP302:CP303" si="634">IF($P302&gt;=CP$5,1,0)</f>
        <v>1</v>
      </c>
      <c r="CQ302" s="6">
        <f t="shared" ref="CQ302:CQ303" si="635">IF(CQ$5="Any",1,IF(AND(CQ$5="Med",AV302=0,SUM(AN302:AQ302)=0),1,IF(AND(CQ$5="Low",AV302=0,SUM(AN302:AQ302)=0,AM302=0),1,IF(AND(CQ$5="Flat",AV302=0,SUM(AN302:AQ302)=0,AM302=0,IFERROR(NOT(BE302="Y"),0)),1,0))))</f>
        <v>1</v>
      </c>
      <c r="CR302" s="81" t="str">
        <f t="shared" ref="CR302:CR303" si="636">IF(ISNUMBER($CH302),$CH302+$CS302+$CW302,"")</f>
        <v/>
      </c>
      <c r="CS302">
        <f t="shared" ref="CS302:CS303" si="637">CS$5*(12/(MIN(12,Q302))-1)</f>
        <v>25.2</v>
      </c>
      <c r="CT302">
        <f t="shared" si="615"/>
        <v>175</v>
      </c>
      <c r="CU302" t="str">
        <f t="shared" si="29"/>
        <v/>
      </c>
      <c r="CV302" s="81">
        <f t="shared" ref="CV302:CV303" si="638">CT302*IF(CU302="",1,Q302)</f>
        <v>175</v>
      </c>
      <c r="CW302" s="81">
        <f>(CV302/25)^1.5*(Calculator!$BU$4/10000)*CW$5</f>
        <v>47.821272343654172</v>
      </c>
      <c r="CX302" t="str">
        <f t="shared" ref="CX302:CX303" si="639">"$"&amp;IF(LEFT(CU302,1)="r",CT302&amp;"/"&amp;CU302,CV302)</f>
        <v>$175</v>
      </c>
    </row>
    <row r="303" spans="2:102" x14ac:dyDescent="0.25">
      <c r="B303" s="115" t="s">
        <v>233</v>
      </c>
      <c r="C303" s="13">
        <v>46236.341666666667</v>
      </c>
      <c r="D303">
        <v>22161</v>
      </c>
      <c r="E303" s="54" t="s">
        <v>235</v>
      </c>
      <c r="F303" s="54" t="s">
        <v>704</v>
      </c>
      <c r="G303" s="54" t="s">
        <v>1857</v>
      </c>
      <c r="H303" s="55">
        <v>11.600000000000001</v>
      </c>
      <c r="I303" s="55">
        <v>10.7</v>
      </c>
      <c r="J303" s="55">
        <v>10.199999999999999</v>
      </c>
      <c r="K303" s="54"/>
      <c r="L303" s="56" t="b">
        <v>0</v>
      </c>
      <c r="M303" s="56" t="b">
        <v>0</v>
      </c>
      <c r="N303" s="54">
        <v>1</v>
      </c>
      <c r="O303" s="54" t="s">
        <v>228</v>
      </c>
      <c r="P303" s="54">
        <v>31</v>
      </c>
      <c r="Q303" s="54">
        <v>5</v>
      </c>
      <c r="R303" s="54">
        <v>175</v>
      </c>
      <c r="S303" s="54" t="s">
        <v>705</v>
      </c>
      <c r="T303" s="54" t="s">
        <v>710</v>
      </c>
      <c r="U303" s="54" t="s">
        <v>1840</v>
      </c>
      <c r="V303" s="54" t="s">
        <v>707</v>
      </c>
      <c r="W303" s="54" t="b">
        <v>0</v>
      </c>
      <c r="X303" s="54"/>
      <c r="Y303" s="57" t="s">
        <v>1859</v>
      </c>
      <c r="Z303" s="54" t="s">
        <v>708</v>
      </c>
      <c r="AA303" s="54"/>
      <c r="AB303" s="54" t="s">
        <v>709</v>
      </c>
      <c r="AC303" s="56" t="b">
        <v>1</v>
      </c>
      <c r="AD303" s="56" t="b">
        <v>0</v>
      </c>
      <c r="AE303" s="54" t="s">
        <v>303</v>
      </c>
      <c r="AF303" s="58">
        <v>46236</v>
      </c>
      <c r="AG303" s="62" t="s">
        <v>293</v>
      </c>
      <c r="AH303" s="54">
        <v>0</v>
      </c>
      <c r="AI303" s="54"/>
      <c r="AJ303" s="54"/>
      <c r="AK303" s="54"/>
      <c r="AL303" s="54"/>
      <c r="AM303" s="54">
        <v>9.9980000000000011</v>
      </c>
      <c r="AN303" s="54"/>
      <c r="AO303" s="54"/>
      <c r="AP303" s="54"/>
      <c r="AQ303" s="54"/>
      <c r="AR303" s="54"/>
      <c r="AS303" s="54"/>
      <c r="AT303" s="54"/>
      <c r="AU303" s="54"/>
      <c r="AV303" s="54"/>
      <c r="AW303" s="54"/>
      <c r="AX303" s="59"/>
      <c r="AY303" s="59"/>
      <c r="AZ303" s="59"/>
      <c r="BA303" s="59"/>
      <c r="BB303" s="59">
        <v>4.5999999999999999E-2</v>
      </c>
      <c r="BC303" s="60">
        <v>4.9000000000000004</v>
      </c>
      <c r="BD303" s="61">
        <v>5.1461E-2</v>
      </c>
      <c r="BE303" s="62" t="s">
        <v>293</v>
      </c>
      <c r="BF303" s="35">
        <f t="shared" si="618"/>
        <v>4.9000000000000004</v>
      </c>
      <c r="BG303" s="35">
        <f t="shared" si="618"/>
        <v>5.1461E-2</v>
      </c>
      <c r="BH303" s="35" t="str">
        <f t="shared" si="619"/>
        <v>Med</v>
      </c>
      <c r="BI303" s="110">
        <f t="shared" si="620"/>
        <v>0</v>
      </c>
      <c r="BJ303" s="83">
        <f>VLOOKUP($F303,REP_Info!$D$6:$H$250,5,FALSE)</f>
        <v>1.806</v>
      </c>
      <c r="BK303" s="30">
        <f t="shared" si="621"/>
        <v>12.725700000000002</v>
      </c>
      <c r="BL303" s="30">
        <f t="shared" si="621"/>
        <v>11.235900000000001</v>
      </c>
      <c r="BM303" s="30">
        <f t="shared" si="621"/>
        <v>10.491</v>
      </c>
      <c r="BN303" s="29">
        <f t="shared" si="621"/>
        <v>10.242700000000001</v>
      </c>
      <c r="BO303" s="85" t="str">
        <f t="shared" si="622"/>
        <v>$$$</v>
      </c>
      <c r="BP303" s="88" t="str">
        <f t="shared" si="623"/>
        <v>$$$</v>
      </c>
      <c r="BQ303" s="88" t="str">
        <f t="shared" si="624"/>
        <v>$$$</v>
      </c>
      <c r="BR303" s="88" t="str">
        <f t="shared" si="625"/>
        <v>$$$</v>
      </c>
      <c r="BS303" s="29" t="e">
        <f t="shared" si="626"/>
        <v>#N/A</v>
      </c>
      <c r="BT303" s="29" t="e">
        <f t="shared" si="626"/>
        <v>#N/A</v>
      </c>
      <c r="BU303" s="29" t="e">
        <f t="shared" si="626"/>
        <v>#N/A</v>
      </c>
      <c r="BV303" s="29" t="e">
        <f t="shared" si="626"/>
        <v>#N/A</v>
      </c>
      <c r="BW303" s="29" t="e">
        <f t="shared" si="626"/>
        <v>#N/A</v>
      </c>
      <c r="BX303" s="29" t="e">
        <f t="shared" si="626"/>
        <v>#N/A</v>
      </c>
      <c r="BY303" s="29" t="e">
        <f t="shared" si="626"/>
        <v>#N/A</v>
      </c>
      <c r="BZ303" s="29" t="e">
        <f t="shared" si="626"/>
        <v>#N/A</v>
      </c>
      <c r="CA303" s="29" t="e">
        <f t="shared" si="626"/>
        <v>#N/A</v>
      </c>
      <c r="CB303" s="29" t="e">
        <f t="shared" si="626"/>
        <v>#N/A</v>
      </c>
      <c r="CC303" s="29" t="e">
        <f t="shared" si="626"/>
        <v>#N/A</v>
      </c>
      <c r="CD303" s="29" t="e">
        <f t="shared" si="626"/>
        <v>#N/A</v>
      </c>
      <c r="CE303" s="6" t="str">
        <f t="shared" si="616"/>
        <v/>
      </c>
      <c r="CF303" s="27" t="e">
        <f>IF(AND(CI303,NOT(AD303)),LOOKUP(CF$5,{0,750,1500},H303:J303),"")</f>
        <v>#N/A</v>
      </c>
      <c r="CG303" s="6" t="str">
        <f t="shared" si="617"/>
        <v/>
      </c>
      <c r="CH303" t="e">
        <f t="shared" si="627"/>
        <v>#N/A</v>
      </c>
      <c r="CI303" t="e">
        <f t="shared" si="628"/>
        <v>#N/A</v>
      </c>
      <c r="CJ303" s="6" t="e">
        <f t="shared" si="629"/>
        <v>#N/A</v>
      </c>
      <c r="CK303" s="6">
        <f t="shared" si="630"/>
        <v>1</v>
      </c>
      <c r="CL303" s="6">
        <f t="shared" si="26"/>
        <v>1</v>
      </c>
      <c r="CM303" s="6">
        <f t="shared" si="631"/>
        <v>1</v>
      </c>
      <c r="CN303" s="6">
        <f t="shared" si="632"/>
        <v>0</v>
      </c>
      <c r="CO303" s="6">
        <f t="shared" si="633"/>
        <v>1</v>
      </c>
      <c r="CP303" s="6">
        <f t="shared" si="634"/>
        <v>1</v>
      </c>
      <c r="CQ303" s="6">
        <f t="shared" si="635"/>
        <v>1</v>
      </c>
      <c r="CR303" s="81" t="str">
        <f t="shared" si="636"/>
        <v/>
      </c>
      <c r="CS303">
        <f t="shared" si="637"/>
        <v>25.2</v>
      </c>
      <c r="CT303">
        <f t="shared" si="615"/>
        <v>175</v>
      </c>
      <c r="CU303" t="str">
        <f t="shared" si="29"/>
        <v/>
      </c>
      <c r="CV303" s="81">
        <f t="shared" si="638"/>
        <v>175</v>
      </c>
      <c r="CW303" s="81">
        <f>(CV303/25)^1.5*(Calculator!$BU$4/10000)*CW$5</f>
        <v>47.821272343654172</v>
      </c>
      <c r="CX303" t="str">
        <f t="shared" si="639"/>
        <v>$175</v>
      </c>
    </row>
    <row r="304" spans="2:102" x14ac:dyDescent="0.25">
      <c r="B304" s="115" t="s">
        <v>233</v>
      </c>
      <c r="C304" s="13">
        <v>46174.569444444445</v>
      </c>
      <c r="D304">
        <v>22764</v>
      </c>
      <c r="E304" s="54" t="s">
        <v>237</v>
      </c>
      <c r="F304" s="54" t="s">
        <v>704</v>
      </c>
      <c r="G304" s="54" t="s">
        <v>711</v>
      </c>
      <c r="H304" s="55">
        <v>24</v>
      </c>
      <c r="I304" s="55">
        <v>11.1</v>
      </c>
      <c r="J304" s="55">
        <v>17.2</v>
      </c>
      <c r="K304" s="54" t="s">
        <v>313</v>
      </c>
      <c r="L304" s="56" t="b">
        <v>0</v>
      </c>
      <c r="M304" s="56" t="b">
        <v>0</v>
      </c>
      <c r="N304" s="54">
        <v>1</v>
      </c>
      <c r="O304" s="54" t="s">
        <v>228</v>
      </c>
      <c r="P304" s="54">
        <v>31</v>
      </c>
      <c r="Q304" s="54">
        <v>12</v>
      </c>
      <c r="R304" s="54">
        <v>175</v>
      </c>
      <c r="S304" s="54" t="s">
        <v>705</v>
      </c>
      <c r="T304" s="54" t="s">
        <v>712</v>
      </c>
      <c r="U304" s="54" t="s">
        <v>713</v>
      </c>
      <c r="V304" s="54" t="s">
        <v>707</v>
      </c>
      <c r="W304" s="54" t="b">
        <v>0</v>
      </c>
      <c r="X304" s="54"/>
      <c r="Y304" s="57" t="s">
        <v>714</v>
      </c>
      <c r="Z304" s="54" t="s">
        <v>715</v>
      </c>
      <c r="AA304" s="54"/>
      <c r="AB304" s="54" t="s">
        <v>709</v>
      </c>
      <c r="AC304" s="56" t="b">
        <v>1</v>
      </c>
      <c r="AD304" s="56" t="b">
        <v>1</v>
      </c>
      <c r="AE304" s="54" t="s">
        <v>303</v>
      </c>
      <c r="AF304" s="58">
        <v>46174</v>
      </c>
      <c r="AG304" s="62" t="s">
        <v>293</v>
      </c>
      <c r="AH304" s="54">
        <v>0</v>
      </c>
      <c r="AI304" s="54">
        <v>1000</v>
      </c>
      <c r="AJ304" s="54"/>
      <c r="AK304" s="54"/>
      <c r="AL304" s="54"/>
      <c r="AM304" s="54">
        <v>0</v>
      </c>
      <c r="AN304" s="54">
        <v>-125</v>
      </c>
      <c r="AO304" s="54"/>
      <c r="AP304" s="54"/>
      <c r="AQ304" s="54"/>
      <c r="AR304" s="54"/>
      <c r="AS304" s="54"/>
      <c r="AT304" s="54"/>
      <c r="AU304" s="54"/>
      <c r="AV304" s="54"/>
      <c r="AW304" s="54"/>
      <c r="AX304" s="59"/>
      <c r="AY304" s="59"/>
      <c r="AZ304" s="59"/>
      <c r="BA304" s="59"/>
      <c r="BB304" s="59">
        <v>0.17</v>
      </c>
      <c r="BC304" s="60">
        <v>4.0599999999999996</v>
      </c>
      <c r="BD304" s="61">
        <v>6.1969999999999997E-2</v>
      </c>
      <c r="BE304" s="62" t="s">
        <v>293</v>
      </c>
      <c r="BF304" s="35">
        <f t="shared" si="0"/>
        <v>4.0600000000000005</v>
      </c>
      <c r="BG304" s="35">
        <f t="shared" si="0"/>
        <v>6.0295000000000001E-2</v>
      </c>
      <c r="BH304" s="35" t="str">
        <f t="shared" ref="BH304:BH314" si="640">IF(ISTEXT(BE304),IF(AND(AV304=0,SUM(AN304:AQ304)=0),IF(AM304&lt;=0,IF(BE304="Y","Low","Flat"),"Med"),"High"),"?")</f>
        <v>High</v>
      </c>
      <c r="BI304" s="110">
        <f t="shared" ref="BI304:BI314" si="641">IF(ISNUMBER(AH304),0*BI$5*SIN((EDATE($A$3,$Q304)-DATE(YEAR(EDATE($A$3,$Q304)),1,0)-BI$4)*2*PI()/365),"")</f>
        <v>0</v>
      </c>
      <c r="BJ304" s="83">
        <f>VLOOKUP($F304,REP_Info!$D$6:$H$250,5,FALSE)</f>
        <v>1.806</v>
      </c>
      <c r="BK304" s="30">
        <f t="shared" ref="BK304:BN314" si="642">IF(BK$7&gt;0,(LOOKUP(BK$7,$AH304:$AL304,$AM304:$AQ304)+IF($AG304="Y",SUMPRODUCT($AX304:$BB304-$AW304:$BA304,BK$7-$AR304:$AV304,N(BK$7&gt;$AR304:$AV304)),BK$7*LOOKUP(BK$7,$AR304:$AV304,$AX304:$BB304))+IF($BE304="Y",$BF304,$BC304)+BK$7*IF($BE304="Y",$BG304,$BD304))*100/BK$7,"")</f>
        <v>23.841500000000003</v>
      </c>
      <c r="BL304" s="30">
        <f t="shared" si="642"/>
        <v>10.935499999999999</v>
      </c>
      <c r="BM304" s="30">
        <f t="shared" si="642"/>
        <v>16.982500000000002</v>
      </c>
      <c r="BN304" s="29">
        <f t="shared" si="642"/>
        <v>18.99816666666667</v>
      </c>
      <c r="BO304" s="85" t="str">
        <f t="shared" si="2"/>
        <v>$$$</v>
      </c>
      <c r="BP304" s="88" t="str">
        <f t="shared" ref="BP304:BP314" si="643">IFERROR(BO304*100/BO$5,"$$$")</f>
        <v>$$$</v>
      </c>
      <c r="BQ304" s="88" t="str">
        <f t="shared" si="4"/>
        <v>$$$</v>
      </c>
      <c r="BR304" s="88" t="str">
        <f t="shared" si="5"/>
        <v>$$$</v>
      </c>
      <c r="BS304" s="29" t="e">
        <f t="shared" ref="BS304:CD314" si="644">IF($CI304,IF(BS$7&gt;0,IF(BS$4&gt;$Q304,$BF304+BS$7*(BS$5+$BG304+$BI304),LOOKUP(BS$7,$AH304:$AL304,$AM304:$AQ304)+IF($AG304="Y",SUMPRODUCT($AX304:$BB304-$AW304:$BA304,BS$7-$AR304:$AV304,N(BS$7&gt;$AR304:$AV304)),BS$7*LOOKUP(BS$7,$AR304:$AV304,$AX304:$BB304))+IF($BE304="Y",$BF304,$BC304)+BS$7*IF($BE304="Y",$BG304,$BD304))*100/BS$7,""),NA())</f>
        <v>#N/A</v>
      </c>
      <c r="BT304" s="29" t="e">
        <f t="shared" si="644"/>
        <v>#N/A</v>
      </c>
      <c r="BU304" s="29" t="e">
        <f t="shared" si="644"/>
        <v>#N/A</v>
      </c>
      <c r="BV304" s="29" t="e">
        <f t="shared" si="644"/>
        <v>#N/A</v>
      </c>
      <c r="BW304" s="29" t="e">
        <f t="shared" si="644"/>
        <v>#N/A</v>
      </c>
      <c r="BX304" s="29" t="e">
        <f t="shared" si="644"/>
        <v>#N/A</v>
      </c>
      <c r="BY304" s="29" t="e">
        <f t="shared" si="644"/>
        <v>#N/A</v>
      </c>
      <c r="BZ304" s="29" t="e">
        <f t="shared" si="644"/>
        <v>#N/A</v>
      </c>
      <c r="CA304" s="29" t="e">
        <f t="shared" si="644"/>
        <v>#N/A</v>
      </c>
      <c r="CB304" s="29" t="e">
        <f t="shared" si="644"/>
        <v>#N/A</v>
      </c>
      <c r="CC304" s="29" t="e">
        <f t="shared" si="644"/>
        <v>#N/A</v>
      </c>
      <c r="CD304" s="29" t="e">
        <f t="shared" si="644"/>
        <v>#N/A</v>
      </c>
      <c r="CE304" s="6" t="str">
        <f t="shared" si="616"/>
        <v/>
      </c>
      <c r="CF304" s="27" t="e">
        <f>IF(AND(CI304,NOT(AD304)),LOOKUP(CF$5,{0,750,1500},H304:J304),"")</f>
        <v>#N/A</v>
      </c>
      <c r="CG304" s="6" t="str">
        <f t="shared" si="617"/>
        <v/>
      </c>
      <c r="CH304" t="e">
        <f t="shared" ref="CH304:CH314" si="645">IF(CI304,IF(ISNUMBER(BO304),BO304,100000)+CV304/10000+IF(ISNUMBER(BJ304),BJ304,2)/10000-P304/100000+ROW()/10000000,"")</f>
        <v>#N/A</v>
      </c>
      <c r="CI304" t="e">
        <f t="shared" ref="CI304:CI314" si="646">PRODUCT(CJ304:CQ304)</f>
        <v>#N/A</v>
      </c>
      <c r="CJ304" s="6" t="e">
        <f t="shared" si="11"/>
        <v>#N/A</v>
      </c>
      <c r="CK304" s="6">
        <f t="shared" si="12"/>
        <v>1</v>
      </c>
      <c r="CL304" s="6">
        <f t="shared" si="26"/>
        <v>1</v>
      </c>
      <c r="CM304" s="6">
        <f t="shared" si="13"/>
        <v>1</v>
      </c>
      <c r="CN304" s="6">
        <f t="shared" si="14"/>
        <v>1</v>
      </c>
      <c r="CO304" s="6">
        <f t="shared" si="15"/>
        <v>1</v>
      </c>
      <c r="CP304" s="6">
        <f t="shared" si="16"/>
        <v>1</v>
      </c>
      <c r="CQ304" s="6">
        <f t="shared" ref="CQ304:CQ314" si="647">IF(CQ$5="Any",1,IF(AND(CQ$5="Med",AV304=0,SUM(AN304:AQ304)=0),1,IF(AND(CQ$5="Low",AV304=0,SUM(AN304:AQ304)=0,AM304=0),1,IF(AND(CQ$5="Flat",AV304=0,SUM(AN304:AQ304)=0,AM304=0,IFERROR(NOT(BE304="Y"),0)),1,0))))</f>
        <v>1</v>
      </c>
      <c r="CR304" s="81" t="str">
        <f t="shared" si="17"/>
        <v/>
      </c>
      <c r="CS304">
        <f t="shared" ref="CS304:CS314" si="648">CS$5*(12/(MIN(12,Q304))-1)</f>
        <v>0</v>
      </c>
      <c r="CT304">
        <f t="shared" si="615"/>
        <v>175</v>
      </c>
      <c r="CU304" t="str">
        <f t="shared" si="29"/>
        <v/>
      </c>
      <c r="CV304" s="81">
        <f t="shared" ref="CV304:CV314" si="649">CT304*IF(CU304="",1,Q304)</f>
        <v>175</v>
      </c>
      <c r="CW304" s="81">
        <f>(CV304/25)^1.5*(Calculator!$BU$4/10000)*CW$5</f>
        <v>47.821272343654172</v>
      </c>
      <c r="CX304" t="str">
        <f t="shared" ref="CX304:CX314" si="650">"$"&amp;IF(LEFT(CU304,1)="r",CT304&amp;"/"&amp;CU304,CV304)</f>
        <v>$175</v>
      </c>
    </row>
    <row r="305" spans="2:102" x14ac:dyDescent="0.25">
      <c r="B305" s="115" t="s">
        <v>233</v>
      </c>
      <c r="C305" s="13">
        <v>46174.569444444445</v>
      </c>
      <c r="D305">
        <v>24340</v>
      </c>
      <c r="E305" s="54" t="s">
        <v>235</v>
      </c>
      <c r="F305" s="54" t="s">
        <v>704</v>
      </c>
      <c r="G305" s="54" t="s">
        <v>711</v>
      </c>
      <c r="H305" s="55">
        <v>21.5</v>
      </c>
      <c r="I305" s="55">
        <v>8.5</v>
      </c>
      <c r="J305" s="55">
        <v>14.499999999999998</v>
      </c>
      <c r="K305" s="54" t="s">
        <v>313</v>
      </c>
      <c r="L305" s="56" t="b">
        <v>0</v>
      </c>
      <c r="M305" s="56" t="b">
        <v>0</v>
      </c>
      <c r="N305" s="54">
        <v>1</v>
      </c>
      <c r="O305" s="54" t="s">
        <v>228</v>
      </c>
      <c r="P305" s="54">
        <v>31</v>
      </c>
      <c r="Q305" s="54">
        <v>12</v>
      </c>
      <c r="R305" s="54">
        <v>175</v>
      </c>
      <c r="S305" s="54" t="s">
        <v>705</v>
      </c>
      <c r="T305" s="54" t="s">
        <v>712</v>
      </c>
      <c r="U305" s="54" t="s">
        <v>716</v>
      </c>
      <c r="V305" s="54" t="s">
        <v>707</v>
      </c>
      <c r="W305" s="54" t="b">
        <v>0</v>
      </c>
      <c r="X305" s="54"/>
      <c r="Y305" s="57" t="s">
        <v>717</v>
      </c>
      <c r="Z305" s="54" t="s">
        <v>715</v>
      </c>
      <c r="AA305" s="54"/>
      <c r="AB305" s="54" t="s">
        <v>709</v>
      </c>
      <c r="AC305" s="56" t="b">
        <v>1</v>
      </c>
      <c r="AD305" s="56" t="b">
        <v>1</v>
      </c>
      <c r="AE305" s="54" t="s">
        <v>303</v>
      </c>
      <c r="AF305" s="58">
        <v>46174</v>
      </c>
      <c r="AG305" s="62" t="s">
        <v>293</v>
      </c>
      <c r="AH305" s="54">
        <v>0</v>
      </c>
      <c r="AI305" s="54">
        <v>1000</v>
      </c>
      <c r="AJ305" s="54"/>
      <c r="AK305" s="54"/>
      <c r="AL305" s="54"/>
      <c r="AM305" s="54">
        <v>0</v>
      </c>
      <c r="AN305" s="54">
        <v>-125</v>
      </c>
      <c r="AO305" s="54"/>
      <c r="AP305" s="54"/>
      <c r="AQ305" s="54"/>
      <c r="AR305" s="54"/>
      <c r="AS305" s="54"/>
      <c r="AT305" s="54"/>
      <c r="AU305" s="54"/>
      <c r="AV305" s="54"/>
      <c r="AW305" s="54"/>
      <c r="AX305" s="59"/>
      <c r="AY305" s="59"/>
      <c r="AZ305" s="59"/>
      <c r="BA305" s="59"/>
      <c r="BB305" s="59">
        <v>0.154</v>
      </c>
      <c r="BC305" s="60">
        <v>4.9000000000000004</v>
      </c>
      <c r="BD305" s="61">
        <v>5.1461E-2</v>
      </c>
      <c r="BE305" s="62" t="s">
        <v>293</v>
      </c>
      <c r="BF305" s="35">
        <f t="shared" si="0"/>
        <v>4.9000000000000004</v>
      </c>
      <c r="BG305" s="35">
        <f t="shared" si="0"/>
        <v>5.1461E-2</v>
      </c>
      <c r="BH305" s="35" t="str">
        <f t="shared" si="640"/>
        <v>High</v>
      </c>
      <c r="BI305" s="110">
        <f t="shared" si="641"/>
        <v>0</v>
      </c>
      <c r="BJ305" s="83">
        <f>VLOOKUP($F305,REP_Info!$D$6:$H$250,5,FALSE)</f>
        <v>1.806</v>
      </c>
      <c r="BK305" s="30">
        <f t="shared" si="642"/>
        <v>21.526100000000003</v>
      </c>
      <c r="BL305" s="30">
        <f t="shared" si="642"/>
        <v>8.5360999999999994</v>
      </c>
      <c r="BM305" s="30">
        <f t="shared" si="642"/>
        <v>14.5411</v>
      </c>
      <c r="BN305" s="29">
        <f t="shared" si="642"/>
        <v>16.542766666666669</v>
      </c>
      <c r="BO305" s="85" t="str">
        <f t="shared" si="2"/>
        <v>$$$</v>
      </c>
      <c r="BP305" s="88" t="str">
        <f t="shared" si="643"/>
        <v>$$$</v>
      </c>
      <c r="BQ305" s="88" t="str">
        <f t="shared" si="4"/>
        <v>$$$</v>
      </c>
      <c r="BR305" s="88" t="str">
        <f t="shared" si="5"/>
        <v>$$$</v>
      </c>
      <c r="BS305" s="29" t="e">
        <f t="shared" si="644"/>
        <v>#N/A</v>
      </c>
      <c r="BT305" s="29" t="e">
        <f t="shared" si="644"/>
        <v>#N/A</v>
      </c>
      <c r="BU305" s="29" t="e">
        <f t="shared" si="644"/>
        <v>#N/A</v>
      </c>
      <c r="BV305" s="29" t="e">
        <f t="shared" si="644"/>
        <v>#N/A</v>
      </c>
      <c r="BW305" s="29" t="e">
        <f t="shared" si="644"/>
        <v>#N/A</v>
      </c>
      <c r="BX305" s="29" t="e">
        <f t="shared" si="644"/>
        <v>#N/A</v>
      </c>
      <c r="BY305" s="29" t="e">
        <f t="shared" si="644"/>
        <v>#N/A</v>
      </c>
      <c r="BZ305" s="29" t="e">
        <f t="shared" si="644"/>
        <v>#N/A</v>
      </c>
      <c r="CA305" s="29" t="e">
        <f t="shared" si="644"/>
        <v>#N/A</v>
      </c>
      <c r="CB305" s="29" t="e">
        <f t="shared" si="644"/>
        <v>#N/A</v>
      </c>
      <c r="CC305" s="29" t="e">
        <f t="shared" si="644"/>
        <v>#N/A</v>
      </c>
      <c r="CD305" s="29" t="e">
        <f t="shared" si="644"/>
        <v>#N/A</v>
      </c>
      <c r="CE305" s="6" t="str">
        <f t="shared" si="616"/>
        <v/>
      </c>
      <c r="CF305" s="27" t="e">
        <f>IF(AND(CI305,NOT(AD305)),LOOKUP(CF$5,{0,750,1500},H305:J305),"")</f>
        <v>#N/A</v>
      </c>
      <c r="CG305" s="6" t="str">
        <f t="shared" si="617"/>
        <v/>
      </c>
      <c r="CH305" t="e">
        <f t="shared" si="645"/>
        <v>#N/A</v>
      </c>
      <c r="CI305" t="e">
        <f t="shared" si="646"/>
        <v>#N/A</v>
      </c>
      <c r="CJ305" s="6" t="e">
        <f t="shared" si="11"/>
        <v>#N/A</v>
      </c>
      <c r="CK305" s="6">
        <f t="shared" si="12"/>
        <v>1</v>
      </c>
      <c r="CL305" s="6">
        <f t="shared" si="26"/>
        <v>1</v>
      </c>
      <c r="CM305" s="6">
        <f t="shared" si="13"/>
        <v>1</v>
      </c>
      <c r="CN305" s="6">
        <f t="shared" si="14"/>
        <v>1</v>
      </c>
      <c r="CO305" s="6">
        <f t="shared" si="15"/>
        <v>1</v>
      </c>
      <c r="CP305" s="6">
        <f t="shared" si="16"/>
        <v>1</v>
      </c>
      <c r="CQ305" s="6">
        <f t="shared" si="647"/>
        <v>1</v>
      </c>
      <c r="CR305" s="81" t="str">
        <f t="shared" si="17"/>
        <v/>
      </c>
      <c r="CS305">
        <f t="shared" si="648"/>
        <v>0</v>
      </c>
      <c r="CT305">
        <f t="shared" si="615"/>
        <v>175</v>
      </c>
      <c r="CU305" t="str">
        <f t="shared" si="29"/>
        <v/>
      </c>
      <c r="CV305" s="81">
        <f t="shared" si="649"/>
        <v>175</v>
      </c>
      <c r="CW305" s="81">
        <f>(CV305/25)^1.5*(Calculator!$BU$4/10000)*CW$5</f>
        <v>47.821272343654172</v>
      </c>
      <c r="CX305" t="str">
        <f t="shared" si="650"/>
        <v>$175</v>
      </c>
    </row>
    <row r="306" spans="2:102" x14ac:dyDescent="0.25">
      <c r="B306" s="115" t="s">
        <v>233</v>
      </c>
      <c r="C306" s="13">
        <v>46174.569444444445</v>
      </c>
      <c r="D306">
        <v>24348</v>
      </c>
      <c r="E306" s="54" t="s">
        <v>237</v>
      </c>
      <c r="F306" s="54" t="s">
        <v>704</v>
      </c>
      <c r="G306" s="54" t="s">
        <v>320</v>
      </c>
      <c r="H306" s="55">
        <v>16.3</v>
      </c>
      <c r="I306" s="55">
        <v>15.9</v>
      </c>
      <c r="J306" s="55">
        <v>15.7</v>
      </c>
      <c r="K306" s="54"/>
      <c r="L306" s="56" t="b">
        <v>0</v>
      </c>
      <c r="M306" s="56" t="b">
        <v>0</v>
      </c>
      <c r="N306" s="54">
        <v>1</v>
      </c>
      <c r="O306" s="54" t="s">
        <v>228</v>
      </c>
      <c r="P306" s="54">
        <v>31</v>
      </c>
      <c r="Q306" s="54">
        <v>36</v>
      </c>
      <c r="R306" s="54">
        <v>175</v>
      </c>
      <c r="S306" s="54" t="s">
        <v>705</v>
      </c>
      <c r="T306" s="54" t="s">
        <v>718</v>
      </c>
      <c r="U306" s="54" t="s">
        <v>719</v>
      </c>
      <c r="V306" s="54" t="s">
        <v>707</v>
      </c>
      <c r="W306" s="54" t="b">
        <v>0</v>
      </c>
      <c r="X306" s="54"/>
      <c r="Y306" s="57" t="s">
        <v>720</v>
      </c>
      <c r="Z306" s="54" t="s">
        <v>721</v>
      </c>
      <c r="AA306" s="54"/>
      <c r="AB306" s="54" t="s">
        <v>709</v>
      </c>
      <c r="AC306" s="56" t="b">
        <v>1</v>
      </c>
      <c r="AD306" s="56" t="b">
        <v>0</v>
      </c>
      <c r="AE306" s="54" t="s">
        <v>303</v>
      </c>
      <c r="AF306" s="58">
        <v>46174</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9.2999999999999999E-2</v>
      </c>
      <c r="BC306" s="60">
        <v>4.0599999999999996</v>
      </c>
      <c r="BD306" s="61">
        <v>6.1969999999999997E-2</v>
      </c>
      <c r="BE306" s="62" t="s">
        <v>293</v>
      </c>
      <c r="BF306" s="35">
        <f t="shared" si="0"/>
        <v>4.0600000000000005</v>
      </c>
      <c r="BG306" s="35">
        <f t="shared" si="0"/>
        <v>6.0295000000000001E-2</v>
      </c>
      <c r="BH306" s="35" t="str">
        <f t="shared" si="640"/>
        <v>Low</v>
      </c>
      <c r="BI306" s="110">
        <f t="shared" si="641"/>
        <v>0</v>
      </c>
      <c r="BJ306" s="83">
        <f>VLOOKUP($F306,REP_Info!$D$6:$H$250,5,FALSE)</f>
        <v>1.806</v>
      </c>
      <c r="BK306" s="30">
        <f t="shared" si="642"/>
        <v>16.141500000000001</v>
      </c>
      <c r="BL306" s="30">
        <f t="shared" si="642"/>
        <v>15.735500000000002</v>
      </c>
      <c r="BM306" s="30">
        <f t="shared" si="642"/>
        <v>15.532499999999999</v>
      </c>
      <c r="BN306" s="29">
        <f t="shared" si="642"/>
        <v>15.464833333333333</v>
      </c>
      <c r="BO306" s="85" t="str">
        <f t="shared" si="2"/>
        <v>$$$</v>
      </c>
      <c r="BP306" s="88" t="str">
        <f t="shared" si="643"/>
        <v>$$$</v>
      </c>
      <c r="BQ306" s="88" t="str">
        <f t="shared" si="4"/>
        <v>$$$</v>
      </c>
      <c r="BR306" s="88" t="str">
        <f t="shared" si="5"/>
        <v>$$$</v>
      </c>
      <c r="BS306" s="29" t="e">
        <f t="shared" si="644"/>
        <v>#N/A</v>
      </c>
      <c r="BT306" s="29" t="e">
        <f t="shared" si="644"/>
        <v>#N/A</v>
      </c>
      <c r="BU306" s="29" t="e">
        <f t="shared" si="644"/>
        <v>#N/A</v>
      </c>
      <c r="BV306" s="29" t="e">
        <f t="shared" si="644"/>
        <v>#N/A</v>
      </c>
      <c r="BW306" s="29" t="e">
        <f t="shared" si="644"/>
        <v>#N/A</v>
      </c>
      <c r="BX306" s="29" t="e">
        <f t="shared" si="644"/>
        <v>#N/A</v>
      </c>
      <c r="BY306" s="29" t="e">
        <f t="shared" si="644"/>
        <v>#N/A</v>
      </c>
      <c r="BZ306" s="29" t="e">
        <f t="shared" si="644"/>
        <v>#N/A</v>
      </c>
      <c r="CA306" s="29" t="e">
        <f t="shared" si="644"/>
        <v>#N/A</v>
      </c>
      <c r="CB306" s="29" t="e">
        <f t="shared" si="644"/>
        <v>#N/A</v>
      </c>
      <c r="CC306" s="29" t="e">
        <f t="shared" si="644"/>
        <v>#N/A</v>
      </c>
      <c r="CD306" s="29" t="e">
        <f t="shared" si="644"/>
        <v>#N/A</v>
      </c>
      <c r="CE306" s="6" t="str">
        <f t="shared" si="616"/>
        <v/>
      </c>
      <c r="CF306" s="27" t="e">
        <f>IF(AND(CI306,NOT(AD306)),LOOKUP(CF$5,{0,750,1500},H306:J306),"")</f>
        <v>#N/A</v>
      </c>
      <c r="CG306" s="6" t="str">
        <f t="shared" si="617"/>
        <v/>
      </c>
      <c r="CH306" t="e">
        <f t="shared" si="645"/>
        <v>#N/A</v>
      </c>
      <c r="CI306" t="e">
        <f t="shared" si="646"/>
        <v>#N/A</v>
      </c>
      <c r="CJ306" s="6" t="e">
        <f t="shared" si="11"/>
        <v>#N/A</v>
      </c>
      <c r="CK306" s="6">
        <f t="shared" si="12"/>
        <v>1</v>
      </c>
      <c r="CL306" s="6">
        <f t="shared" si="26"/>
        <v>1</v>
      </c>
      <c r="CM306" s="6">
        <f t="shared" si="13"/>
        <v>1</v>
      </c>
      <c r="CN306" s="6">
        <f t="shared" si="14"/>
        <v>1</v>
      </c>
      <c r="CO306" s="6">
        <f t="shared" si="15"/>
        <v>0</v>
      </c>
      <c r="CP306" s="6">
        <f t="shared" si="16"/>
        <v>1</v>
      </c>
      <c r="CQ306" s="6">
        <f t="shared" si="647"/>
        <v>1</v>
      </c>
      <c r="CR306" s="81" t="str">
        <f t="shared" si="17"/>
        <v/>
      </c>
      <c r="CS306">
        <f t="shared" si="648"/>
        <v>0</v>
      </c>
      <c r="CT306">
        <f t="shared" si="615"/>
        <v>175</v>
      </c>
      <c r="CU306" t="str">
        <f t="shared" si="29"/>
        <v/>
      </c>
      <c r="CV306" s="81">
        <f t="shared" si="649"/>
        <v>175</v>
      </c>
      <c r="CW306" s="81">
        <f>(CV306/25)^1.5*(Calculator!$BU$4/10000)*CW$5</f>
        <v>47.821272343654172</v>
      </c>
      <c r="CX306" t="str">
        <f t="shared" si="650"/>
        <v>$175</v>
      </c>
    </row>
    <row r="307" spans="2:102" x14ac:dyDescent="0.25">
      <c r="B307" s="115" t="s">
        <v>233</v>
      </c>
      <c r="C307" s="13">
        <v>46174.569444444445</v>
      </c>
      <c r="D307">
        <v>27803</v>
      </c>
      <c r="E307" s="54" t="s">
        <v>235</v>
      </c>
      <c r="F307" s="54" t="s">
        <v>704</v>
      </c>
      <c r="G307" s="54" t="s">
        <v>320</v>
      </c>
      <c r="H307" s="55">
        <v>15.4</v>
      </c>
      <c r="I307" s="55">
        <v>14.899999999999999</v>
      </c>
      <c r="J307" s="55">
        <v>14.7</v>
      </c>
      <c r="K307" s="54"/>
      <c r="L307" s="56" t="b">
        <v>0</v>
      </c>
      <c r="M307" s="56" t="b">
        <v>0</v>
      </c>
      <c r="N307" s="54">
        <v>1</v>
      </c>
      <c r="O307" s="54" t="s">
        <v>228</v>
      </c>
      <c r="P307" s="54">
        <v>31</v>
      </c>
      <c r="Q307" s="54">
        <v>36</v>
      </c>
      <c r="R307" s="54">
        <v>175</v>
      </c>
      <c r="S307" s="54" t="s">
        <v>705</v>
      </c>
      <c r="T307" s="54" t="s">
        <v>718</v>
      </c>
      <c r="U307" s="54" t="s">
        <v>722</v>
      </c>
      <c r="V307" s="54" t="s">
        <v>707</v>
      </c>
      <c r="W307" s="54" t="b">
        <v>0</v>
      </c>
      <c r="X307" s="54"/>
      <c r="Y307" s="57" t="s">
        <v>723</v>
      </c>
      <c r="Z307" s="54" t="s">
        <v>721</v>
      </c>
      <c r="AA307" s="54"/>
      <c r="AB307" s="54" t="s">
        <v>709</v>
      </c>
      <c r="AC307" s="56" t="b">
        <v>1</v>
      </c>
      <c r="AD307" s="56" t="b">
        <v>0</v>
      </c>
      <c r="AE307" s="54" t="s">
        <v>303</v>
      </c>
      <c r="AF307" s="58">
        <v>46174</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9.2999999999999999E-2</v>
      </c>
      <c r="BC307" s="60">
        <v>4.9000000000000004</v>
      </c>
      <c r="BD307" s="61">
        <v>5.1461E-2</v>
      </c>
      <c r="BE307" s="62" t="s">
        <v>293</v>
      </c>
      <c r="BF307" s="35">
        <f t="shared" si="0"/>
        <v>4.9000000000000004</v>
      </c>
      <c r="BG307" s="35">
        <f t="shared" si="0"/>
        <v>5.1461E-2</v>
      </c>
      <c r="BH307" s="35" t="str">
        <f t="shared" si="640"/>
        <v>Low</v>
      </c>
      <c r="BI307" s="110">
        <f t="shared" si="641"/>
        <v>0</v>
      </c>
      <c r="BJ307" s="83">
        <f>VLOOKUP($F307,REP_Info!$D$6:$H$250,5,FALSE)</f>
        <v>1.806</v>
      </c>
      <c r="BK307" s="30">
        <f t="shared" si="642"/>
        <v>15.4261</v>
      </c>
      <c r="BL307" s="30">
        <f t="shared" si="642"/>
        <v>14.936099999999998</v>
      </c>
      <c r="BM307" s="30">
        <f t="shared" si="642"/>
        <v>14.6911</v>
      </c>
      <c r="BN307" s="29">
        <f t="shared" si="642"/>
        <v>14.609433333333333</v>
      </c>
      <c r="BO307" s="85" t="str">
        <f t="shared" si="2"/>
        <v>$$$</v>
      </c>
      <c r="BP307" s="88" t="str">
        <f t="shared" si="643"/>
        <v>$$$</v>
      </c>
      <c r="BQ307" s="88" t="str">
        <f t="shared" si="4"/>
        <v>$$$</v>
      </c>
      <c r="BR307" s="88" t="str">
        <f t="shared" si="5"/>
        <v>$$$</v>
      </c>
      <c r="BS307" s="29" t="e">
        <f t="shared" si="644"/>
        <v>#N/A</v>
      </c>
      <c r="BT307" s="29" t="e">
        <f t="shared" si="644"/>
        <v>#N/A</v>
      </c>
      <c r="BU307" s="29" t="e">
        <f t="shared" si="644"/>
        <v>#N/A</v>
      </c>
      <c r="BV307" s="29" t="e">
        <f t="shared" si="644"/>
        <v>#N/A</v>
      </c>
      <c r="BW307" s="29" t="e">
        <f t="shared" si="644"/>
        <v>#N/A</v>
      </c>
      <c r="BX307" s="29" t="e">
        <f t="shared" si="644"/>
        <v>#N/A</v>
      </c>
      <c r="BY307" s="29" t="e">
        <f t="shared" si="644"/>
        <v>#N/A</v>
      </c>
      <c r="BZ307" s="29" t="e">
        <f t="shared" si="644"/>
        <v>#N/A</v>
      </c>
      <c r="CA307" s="29" t="e">
        <f t="shared" si="644"/>
        <v>#N/A</v>
      </c>
      <c r="CB307" s="29" t="e">
        <f t="shared" si="644"/>
        <v>#N/A</v>
      </c>
      <c r="CC307" s="29" t="e">
        <f t="shared" si="644"/>
        <v>#N/A</v>
      </c>
      <c r="CD307" s="29" t="e">
        <f t="shared" si="644"/>
        <v>#N/A</v>
      </c>
      <c r="CE307" s="6" t="str">
        <f t="shared" si="616"/>
        <v/>
      </c>
      <c r="CF307" s="27" t="e">
        <f>IF(AND(CI307,NOT(AD307)),LOOKUP(CF$5,{0,750,1500},H307:J307),"")</f>
        <v>#N/A</v>
      </c>
      <c r="CG307" s="6" t="str">
        <f t="shared" si="617"/>
        <v/>
      </c>
      <c r="CH307" t="e">
        <f t="shared" si="645"/>
        <v>#N/A</v>
      </c>
      <c r="CI307" t="e">
        <f t="shared" si="646"/>
        <v>#N/A</v>
      </c>
      <c r="CJ307" s="6" t="e">
        <f t="shared" si="11"/>
        <v>#N/A</v>
      </c>
      <c r="CK307" s="6">
        <f t="shared" si="12"/>
        <v>1</v>
      </c>
      <c r="CL307" s="6">
        <f t="shared" si="26"/>
        <v>1</v>
      </c>
      <c r="CM307" s="6">
        <f t="shared" si="13"/>
        <v>1</v>
      </c>
      <c r="CN307" s="6">
        <f t="shared" si="14"/>
        <v>1</v>
      </c>
      <c r="CO307" s="6">
        <f t="shared" si="15"/>
        <v>0</v>
      </c>
      <c r="CP307" s="6">
        <f t="shared" si="16"/>
        <v>1</v>
      </c>
      <c r="CQ307" s="6">
        <f t="shared" si="647"/>
        <v>1</v>
      </c>
      <c r="CR307" s="81" t="str">
        <f t="shared" si="17"/>
        <v/>
      </c>
      <c r="CS307">
        <f t="shared" si="648"/>
        <v>0</v>
      </c>
      <c r="CT307">
        <f t="shared" si="615"/>
        <v>175</v>
      </c>
      <c r="CU307" t="str">
        <f t="shared" si="29"/>
        <v/>
      </c>
      <c r="CV307" s="81">
        <f t="shared" si="649"/>
        <v>175</v>
      </c>
      <c r="CW307" s="81">
        <f>(CV307/25)^1.5*(Calculator!$BU$4/10000)*CW$5</f>
        <v>47.821272343654172</v>
      </c>
      <c r="CX307" t="str">
        <f t="shared" si="650"/>
        <v>$175</v>
      </c>
    </row>
    <row r="308" spans="2:102" x14ac:dyDescent="0.25">
      <c r="B308" s="115" t="s">
        <v>233</v>
      </c>
      <c r="C308" s="13">
        <v>46174.569444444445</v>
      </c>
      <c r="D308">
        <v>31977</v>
      </c>
      <c r="E308" s="54" t="s">
        <v>237</v>
      </c>
      <c r="F308" s="54" t="s">
        <v>704</v>
      </c>
      <c r="G308" s="54" t="s">
        <v>327</v>
      </c>
      <c r="H308" s="55">
        <v>16.3</v>
      </c>
      <c r="I308" s="55">
        <v>15.9</v>
      </c>
      <c r="J308" s="55">
        <v>15.7</v>
      </c>
      <c r="K308" s="54"/>
      <c r="L308" s="56" t="b">
        <v>0</v>
      </c>
      <c r="M308" s="56" t="b">
        <v>0</v>
      </c>
      <c r="N308" s="54">
        <v>1</v>
      </c>
      <c r="O308" s="54" t="s">
        <v>228</v>
      </c>
      <c r="P308" s="54">
        <v>31</v>
      </c>
      <c r="Q308" s="54">
        <v>24</v>
      </c>
      <c r="R308" s="54">
        <v>175</v>
      </c>
      <c r="S308" s="54" t="s">
        <v>705</v>
      </c>
      <c r="T308" s="54" t="s">
        <v>718</v>
      </c>
      <c r="U308" s="54" t="s">
        <v>724</v>
      </c>
      <c r="V308" s="54" t="s">
        <v>707</v>
      </c>
      <c r="W308" s="54" t="b">
        <v>0</v>
      </c>
      <c r="X308" s="54"/>
      <c r="Y308" s="57" t="s">
        <v>725</v>
      </c>
      <c r="Z308" s="54" t="s">
        <v>721</v>
      </c>
      <c r="AA308" s="54"/>
      <c r="AB308" s="54" t="s">
        <v>709</v>
      </c>
      <c r="AC308" s="56" t="b">
        <v>1</v>
      </c>
      <c r="AD308" s="56" t="b">
        <v>0</v>
      </c>
      <c r="AE308" s="54" t="s">
        <v>303</v>
      </c>
      <c r="AF308" s="58">
        <v>46174</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9.2999999999999999E-2</v>
      </c>
      <c r="BC308" s="60">
        <v>4.0599999999999996</v>
      </c>
      <c r="BD308" s="61">
        <v>6.1969999999999997E-2</v>
      </c>
      <c r="BE308" s="62" t="s">
        <v>293</v>
      </c>
      <c r="BF308" s="35">
        <f t="shared" si="0"/>
        <v>4.0600000000000005</v>
      </c>
      <c r="BG308" s="35">
        <f t="shared" si="0"/>
        <v>6.0295000000000001E-2</v>
      </c>
      <c r="BH308" s="35" t="str">
        <f t="shared" si="640"/>
        <v>Low</v>
      </c>
      <c r="BI308" s="110">
        <f t="shared" si="641"/>
        <v>0</v>
      </c>
      <c r="BJ308" s="83">
        <f>VLOOKUP($F308,REP_Info!$D$6:$H$250,5,FALSE)</f>
        <v>1.806</v>
      </c>
      <c r="BK308" s="30">
        <f t="shared" si="642"/>
        <v>16.141500000000001</v>
      </c>
      <c r="BL308" s="30">
        <f t="shared" si="642"/>
        <v>15.735500000000002</v>
      </c>
      <c r="BM308" s="30">
        <f t="shared" si="642"/>
        <v>15.532499999999999</v>
      </c>
      <c r="BN308" s="29">
        <f t="shared" si="642"/>
        <v>15.464833333333333</v>
      </c>
      <c r="BO308" s="85" t="str">
        <f t="shared" si="2"/>
        <v>$$$</v>
      </c>
      <c r="BP308" s="88" t="str">
        <f t="shared" si="643"/>
        <v>$$$</v>
      </c>
      <c r="BQ308" s="88" t="str">
        <f t="shared" si="4"/>
        <v>$$$</v>
      </c>
      <c r="BR308" s="88" t="str">
        <f t="shared" si="5"/>
        <v>$$$</v>
      </c>
      <c r="BS308" s="29" t="e">
        <f t="shared" si="644"/>
        <v>#N/A</v>
      </c>
      <c r="BT308" s="29" t="e">
        <f t="shared" si="644"/>
        <v>#N/A</v>
      </c>
      <c r="BU308" s="29" t="e">
        <f t="shared" si="644"/>
        <v>#N/A</v>
      </c>
      <c r="BV308" s="29" t="e">
        <f t="shared" si="644"/>
        <v>#N/A</v>
      </c>
      <c r="BW308" s="29" t="e">
        <f t="shared" si="644"/>
        <v>#N/A</v>
      </c>
      <c r="BX308" s="29" t="e">
        <f t="shared" si="644"/>
        <v>#N/A</v>
      </c>
      <c r="BY308" s="29" t="e">
        <f t="shared" si="644"/>
        <v>#N/A</v>
      </c>
      <c r="BZ308" s="29" t="e">
        <f t="shared" si="644"/>
        <v>#N/A</v>
      </c>
      <c r="CA308" s="29" t="e">
        <f t="shared" si="644"/>
        <v>#N/A</v>
      </c>
      <c r="CB308" s="29" t="e">
        <f t="shared" si="644"/>
        <v>#N/A</v>
      </c>
      <c r="CC308" s="29" t="e">
        <f t="shared" si="644"/>
        <v>#N/A</v>
      </c>
      <c r="CD308" s="29" t="e">
        <f t="shared" si="644"/>
        <v>#N/A</v>
      </c>
      <c r="CE308" s="6" t="str">
        <f t="shared" si="616"/>
        <v/>
      </c>
      <c r="CF308" s="27" t="e">
        <f>IF(AND(CI308,NOT(AD308)),LOOKUP(CF$5,{0,750,1500},H308:J308),"")</f>
        <v>#N/A</v>
      </c>
      <c r="CG308" s="6" t="str">
        <f t="shared" si="617"/>
        <v/>
      </c>
      <c r="CH308" t="e">
        <f t="shared" si="645"/>
        <v>#N/A</v>
      </c>
      <c r="CI308" t="e">
        <f t="shared" si="646"/>
        <v>#N/A</v>
      </c>
      <c r="CJ308" s="6" t="e">
        <f t="shared" si="11"/>
        <v>#N/A</v>
      </c>
      <c r="CK308" s="6">
        <f t="shared" si="12"/>
        <v>1</v>
      </c>
      <c r="CL308" s="6">
        <f t="shared" si="26"/>
        <v>1</v>
      </c>
      <c r="CM308" s="6">
        <f t="shared" si="13"/>
        <v>1</v>
      </c>
      <c r="CN308" s="6">
        <f t="shared" si="14"/>
        <v>1</v>
      </c>
      <c r="CO308" s="6">
        <f t="shared" si="15"/>
        <v>0</v>
      </c>
      <c r="CP308" s="6">
        <f t="shared" si="16"/>
        <v>1</v>
      </c>
      <c r="CQ308" s="6">
        <f t="shared" si="647"/>
        <v>1</v>
      </c>
      <c r="CR308" s="81" t="str">
        <f t="shared" si="17"/>
        <v/>
      </c>
      <c r="CS308">
        <f t="shared" si="648"/>
        <v>0</v>
      </c>
      <c r="CT308">
        <f t="shared" si="615"/>
        <v>175</v>
      </c>
      <c r="CU308" t="str">
        <f t="shared" si="29"/>
        <v/>
      </c>
      <c r="CV308" s="81">
        <f t="shared" si="649"/>
        <v>175</v>
      </c>
      <c r="CW308" s="81">
        <f>(CV308/25)^1.5*(Calculator!$BU$4/10000)*CW$5</f>
        <v>47.821272343654172</v>
      </c>
      <c r="CX308" t="str">
        <f t="shared" si="650"/>
        <v>$175</v>
      </c>
    </row>
    <row r="309" spans="2:102" x14ac:dyDescent="0.25">
      <c r="B309" s="115" t="s">
        <v>233</v>
      </c>
      <c r="C309" s="13">
        <v>46174.569444444445</v>
      </c>
      <c r="D309">
        <v>31979</v>
      </c>
      <c r="E309" s="54" t="s">
        <v>235</v>
      </c>
      <c r="F309" s="54" t="s">
        <v>704</v>
      </c>
      <c r="G309" s="54" t="s">
        <v>327</v>
      </c>
      <c r="H309" s="55">
        <v>15.4</v>
      </c>
      <c r="I309" s="55">
        <v>14.899999999999999</v>
      </c>
      <c r="J309" s="55">
        <v>14.7</v>
      </c>
      <c r="K309" s="54"/>
      <c r="L309" s="56" t="b">
        <v>0</v>
      </c>
      <c r="M309" s="56" t="b">
        <v>0</v>
      </c>
      <c r="N309" s="54">
        <v>1</v>
      </c>
      <c r="O309" s="54" t="s">
        <v>228</v>
      </c>
      <c r="P309" s="54">
        <v>31</v>
      </c>
      <c r="Q309" s="54">
        <v>24</v>
      </c>
      <c r="R309" s="54">
        <v>175</v>
      </c>
      <c r="S309" s="54" t="s">
        <v>705</v>
      </c>
      <c r="T309" s="54" t="s">
        <v>718</v>
      </c>
      <c r="U309" s="54" t="s">
        <v>726</v>
      </c>
      <c r="V309" s="54" t="s">
        <v>707</v>
      </c>
      <c r="W309" s="54" t="b">
        <v>0</v>
      </c>
      <c r="X309" s="54"/>
      <c r="Y309" s="57" t="s">
        <v>727</v>
      </c>
      <c r="Z309" s="54" t="s">
        <v>721</v>
      </c>
      <c r="AA309" s="54"/>
      <c r="AB309" s="54" t="s">
        <v>709</v>
      </c>
      <c r="AC309" s="56" t="b">
        <v>1</v>
      </c>
      <c r="AD309" s="56" t="b">
        <v>0</v>
      </c>
      <c r="AE309" s="54" t="s">
        <v>303</v>
      </c>
      <c r="AF309" s="58">
        <v>46174</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9.2999999999999999E-2</v>
      </c>
      <c r="BC309" s="60">
        <v>4.9000000000000004</v>
      </c>
      <c r="BD309" s="61">
        <v>5.1461E-2</v>
      </c>
      <c r="BE309" s="62" t="s">
        <v>293</v>
      </c>
      <c r="BF309" s="35">
        <f t="shared" si="0"/>
        <v>4.9000000000000004</v>
      </c>
      <c r="BG309" s="35">
        <f t="shared" si="0"/>
        <v>5.1461E-2</v>
      </c>
      <c r="BH309" s="35" t="str">
        <f t="shared" si="640"/>
        <v>Low</v>
      </c>
      <c r="BI309" s="110">
        <f t="shared" si="641"/>
        <v>0</v>
      </c>
      <c r="BJ309" s="83">
        <f>VLOOKUP($F309,REP_Info!$D$6:$H$250,5,FALSE)</f>
        <v>1.806</v>
      </c>
      <c r="BK309" s="30">
        <f t="shared" si="642"/>
        <v>15.4261</v>
      </c>
      <c r="BL309" s="30">
        <f t="shared" si="642"/>
        <v>14.936099999999998</v>
      </c>
      <c r="BM309" s="30">
        <f t="shared" si="642"/>
        <v>14.6911</v>
      </c>
      <c r="BN309" s="29">
        <f t="shared" si="642"/>
        <v>14.609433333333333</v>
      </c>
      <c r="BO309" s="85" t="str">
        <f t="shared" si="2"/>
        <v>$$$</v>
      </c>
      <c r="BP309" s="88" t="str">
        <f t="shared" si="643"/>
        <v>$$$</v>
      </c>
      <c r="BQ309" s="88" t="str">
        <f t="shared" si="4"/>
        <v>$$$</v>
      </c>
      <c r="BR309" s="88" t="str">
        <f t="shared" si="5"/>
        <v>$$$</v>
      </c>
      <c r="BS309" s="29" t="e">
        <f t="shared" si="644"/>
        <v>#N/A</v>
      </c>
      <c r="BT309" s="29" t="e">
        <f t="shared" si="644"/>
        <v>#N/A</v>
      </c>
      <c r="BU309" s="29" t="e">
        <f t="shared" si="644"/>
        <v>#N/A</v>
      </c>
      <c r="BV309" s="29" t="e">
        <f t="shared" si="644"/>
        <v>#N/A</v>
      </c>
      <c r="BW309" s="29" t="e">
        <f t="shared" si="644"/>
        <v>#N/A</v>
      </c>
      <c r="BX309" s="29" t="e">
        <f t="shared" si="644"/>
        <v>#N/A</v>
      </c>
      <c r="BY309" s="29" t="e">
        <f t="shared" si="644"/>
        <v>#N/A</v>
      </c>
      <c r="BZ309" s="29" t="e">
        <f t="shared" si="644"/>
        <v>#N/A</v>
      </c>
      <c r="CA309" s="29" t="e">
        <f t="shared" si="644"/>
        <v>#N/A</v>
      </c>
      <c r="CB309" s="29" t="e">
        <f t="shared" si="644"/>
        <v>#N/A</v>
      </c>
      <c r="CC309" s="29" t="e">
        <f t="shared" si="644"/>
        <v>#N/A</v>
      </c>
      <c r="CD309" s="29" t="e">
        <f t="shared" si="644"/>
        <v>#N/A</v>
      </c>
      <c r="CE309" s="6" t="str">
        <f t="shared" si="616"/>
        <v/>
      </c>
      <c r="CF309" s="27" t="e">
        <f>IF(AND(CI309,NOT(AD309)),LOOKUP(CF$5,{0,750,1500},H309:J309),"")</f>
        <v>#N/A</v>
      </c>
      <c r="CG309" s="6" t="str">
        <f t="shared" si="617"/>
        <v/>
      </c>
      <c r="CH309" t="e">
        <f t="shared" si="645"/>
        <v>#N/A</v>
      </c>
      <c r="CI309" t="e">
        <f t="shared" si="646"/>
        <v>#N/A</v>
      </c>
      <c r="CJ309" s="6" t="e">
        <f t="shared" si="11"/>
        <v>#N/A</v>
      </c>
      <c r="CK309" s="6">
        <f t="shared" si="12"/>
        <v>1</v>
      </c>
      <c r="CL309" s="6">
        <f t="shared" si="26"/>
        <v>1</v>
      </c>
      <c r="CM309" s="6">
        <f t="shared" si="13"/>
        <v>1</v>
      </c>
      <c r="CN309" s="6">
        <f t="shared" si="14"/>
        <v>1</v>
      </c>
      <c r="CO309" s="6">
        <f t="shared" si="15"/>
        <v>0</v>
      </c>
      <c r="CP309" s="6">
        <f t="shared" si="16"/>
        <v>1</v>
      </c>
      <c r="CQ309" s="6">
        <f t="shared" si="647"/>
        <v>1</v>
      </c>
      <c r="CR309" s="81" t="str">
        <f t="shared" si="17"/>
        <v/>
      </c>
      <c r="CS309">
        <f t="shared" si="648"/>
        <v>0</v>
      </c>
      <c r="CT309">
        <f t="shared" si="615"/>
        <v>175</v>
      </c>
      <c r="CU309" t="str">
        <f t="shared" si="29"/>
        <v/>
      </c>
      <c r="CV309" s="81">
        <f t="shared" si="649"/>
        <v>175</v>
      </c>
      <c r="CW309" s="81">
        <f>(CV309/25)^1.5*(Calculator!$BU$4/10000)*CW$5</f>
        <v>47.821272343654172</v>
      </c>
      <c r="CX309" t="str">
        <f t="shared" si="650"/>
        <v>$175</v>
      </c>
    </row>
    <row r="310" spans="2:102" x14ac:dyDescent="0.25">
      <c r="B310" s="115" t="s">
        <v>233</v>
      </c>
      <c r="C310" s="13">
        <v>46236.341666666667</v>
      </c>
      <c r="D310">
        <v>35956</v>
      </c>
      <c r="E310" s="54" t="s">
        <v>235</v>
      </c>
      <c r="F310" s="54" t="s">
        <v>728</v>
      </c>
      <c r="G310" s="54" t="s">
        <v>683</v>
      </c>
      <c r="H310" s="55">
        <v>12.5</v>
      </c>
      <c r="I310" s="55">
        <v>12</v>
      </c>
      <c r="J310" s="55">
        <v>11.799999999999999</v>
      </c>
      <c r="K310" s="54"/>
      <c r="L310" s="56" t="b">
        <v>0</v>
      </c>
      <c r="M310" s="56" t="b">
        <v>0</v>
      </c>
      <c r="N310" s="54">
        <v>1</v>
      </c>
      <c r="O310" s="54" t="s">
        <v>228</v>
      </c>
      <c r="P310" s="54">
        <v>37</v>
      </c>
      <c r="Q310" s="54">
        <v>12</v>
      </c>
      <c r="R310" s="54">
        <v>100</v>
      </c>
      <c r="S310" s="54" t="s">
        <v>1748</v>
      </c>
      <c r="T310" s="54"/>
      <c r="U310" s="54" t="s">
        <v>1746</v>
      </c>
      <c r="V310" s="54" t="s">
        <v>1749</v>
      </c>
      <c r="W310" s="54" t="b">
        <v>0</v>
      </c>
      <c r="X310" s="54"/>
      <c r="Y310" s="57" t="s">
        <v>1750</v>
      </c>
      <c r="Z310" s="54" t="s">
        <v>2190</v>
      </c>
      <c r="AA310" s="54"/>
      <c r="AB310" s="54" t="s">
        <v>1751</v>
      </c>
      <c r="AC310" s="56" t="b">
        <v>1</v>
      </c>
      <c r="AD310" s="56" t="b">
        <v>0</v>
      </c>
      <c r="AE310" s="54" t="s">
        <v>303</v>
      </c>
      <c r="AF310" s="58">
        <v>46236</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6.3899999999999998E-2</v>
      </c>
      <c r="BC310" s="60">
        <v>4.9000000000000004</v>
      </c>
      <c r="BD310" s="61">
        <v>5.1461E-2</v>
      </c>
      <c r="BE310" s="62" t="s">
        <v>293</v>
      </c>
      <c r="BF310" s="35">
        <f t="shared" si="0"/>
        <v>4.9000000000000004</v>
      </c>
      <c r="BG310" s="35">
        <f t="shared" si="0"/>
        <v>5.1461E-2</v>
      </c>
      <c r="BH310" s="35" t="str">
        <f t="shared" si="640"/>
        <v>Low</v>
      </c>
      <c r="BI310" s="110">
        <f t="shared" si="641"/>
        <v>0</v>
      </c>
      <c r="BJ310" s="83" t="str">
        <f>VLOOKUP($F310,REP_Info!$D$6:$H$250,5,FALSE)</f>
        <v/>
      </c>
      <c r="BK310" s="30">
        <f t="shared" si="642"/>
        <v>12.5161</v>
      </c>
      <c r="BL310" s="30">
        <f t="shared" si="642"/>
        <v>12.0261</v>
      </c>
      <c r="BM310" s="30">
        <f t="shared" si="642"/>
        <v>11.781099999999999</v>
      </c>
      <c r="BN310" s="29">
        <f t="shared" si="642"/>
        <v>11.699433333333335</v>
      </c>
      <c r="BO310" s="85" t="str">
        <f t="shared" si="2"/>
        <v>$$$</v>
      </c>
      <c r="BP310" s="88" t="str">
        <f t="shared" si="643"/>
        <v>$$$</v>
      </c>
      <c r="BQ310" s="88" t="str">
        <f t="shared" si="4"/>
        <v>$$$</v>
      </c>
      <c r="BR310" s="88" t="str">
        <f t="shared" si="5"/>
        <v>$$$</v>
      </c>
      <c r="BS310" s="29" t="e">
        <f t="shared" si="644"/>
        <v>#N/A</v>
      </c>
      <c r="BT310" s="29" t="e">
        <f t="shared" si="644"/>
        <v>#N/A</v>
      </c>
      <c r="BU310" s="29" t="e">
        <f t="shared" si="644"/>
        <v>#N/A</v>
      </c>
      <c r="BV310" s="29" t="e">
        <f t="shared" si="644"/>
        <v>#N/A</v>
      </c>
      <c r="BW310" s="29" t="e">
        <f t="shared" si="644"/>
        <v>#N/A</v>
      </c>
      <c r="BX310" s="29" t="e">
        <f t="shared" si="644"/>
        <v>#N/A</v>
      </c>
      <c r="BY310" s="29" t="e">
        <f t="shared" si="644"/>
        <v>#N/A</v>
      </c>
      <c r="BZ310" s="29" t="e">
        <f t="shared" si="644"/>
        <v>#N/A</v>
      </c>
      <c r="CA310" s="29" t="e">
        <f t="shared" si="644"/>
        <v>#N/A</v>
      </c>
      <c r="CB310" s="29" t="e">
        <f t="shared" si="644"/>
        <v>#N/A</v>
      </c>
      <c r="CC310" s="29" t="e">
        <f t="shared" si="644"/>
        <v>#N/A</v>
      </c>
      <c r="CD310" s="29" t="e">
        <f t="shared" si="644"/>
        <v>#N/A</v>
      </c>
      <c r="CE310" s="6" t="str">
        <f t="shared" si="616"/>
        <v/>
      </c>
      <c r="CF310" s="27" t="e">
        <f>IF(AND(CI310,NOT(AD310)),LOOKUP(CF$5,{0,750,1500},H310:J310),"")</f>
        <v>#N/A</v>
      </c>
      <c r="CG310" s="6" t="str">
        <f t="shared" si="617"/>
        <v/>
      </c>
      <c r="CH310" t="e">
        <f t="shared" si="645"/>
        <v>#N/A</v>
      </c>
      <c r="CI310" t="e">
        <f t="shared" si="646"/>
        <v>#N/A</v>
      </c>
      <c r="CJ310" s="6" t="e">
        <f t="shared" si="11"/>
        <v>#N/A</v>
      </c>
      <c r="CK310" s="6">
        <f t="shared" si="12"/>
        <v>1</v>
      </c>
      <c r="CL310" s="6">
        <f t="shared" si="26"/>
        <v>1</v>
      </c>
      <c r="CM310" s="6">
        <f t="shared" si="13"/>
        <v>1</v>
      </c>
      <c r="CN310" s="6">
        <f t="shared" si="14"/>
        <v>1</v>
      </c>
      <c r="CO310" s="6">
        <f t="shared" si="15"/>
        <v>1</v>
      </c>
      <c r="CP310" s="6">
        <f t="shared" si="16"/>
        <v>1</v>
      </c>
      <c r="CQ310" s="6">
        <f t="shared" si="647"/>
        <v>1</v>
      </c>
      <c r="CR310" s="81" t="str">
        <f t="shared" si="17"/>
        <v/>
      </c>
      <c r="CS310">
        <f t="shared" si="648"/>
        <v>0</v>
      </c>
      <c r="CT310">
        <f t="shared" si="615"/>
        <v>100</v>
      </c>
      <c r="CU310" t="str">
        <f t="shared" si="29"/>
        <v/>
      </c>
      <c r="CV310" s="81">
        <f t="shared" si="649"/>
        <v>100</v>
      </c>
      <c r="CW310" s="81">
        <f>(CV310/25)^1.5*(Calculator!$BU$4/10000)*CW$5</f>
        <v>20.656847999999979</v>
      </c>
      <c r="CX310" t="str">
        <f t="shared" si="650"/>
        <v>$100</v>
      </c>
    </row>
    <row r="311" spans="2:102" x14ac:dyDescent="0.25">
      <c r="B311" s="115" t="s">
        <v>233</v>
      </c>
      <c r="C311" s="13">
        <v>46236.341666666667</v>
      </c>
      <c r="D311">
        <v>35960</v>
      </c>
      <c r="E311" s="54" t="s">
        <v>237</v>
      </c>
      <c r="F311" s="54" t="s">
        <v>728</v>
      </c>
      <c r="G311" s="54" t="s">
        <v>683</v>
      </c>
      <c r="H311" s="55">
        <v>13.200000000000001</v>
      </c>
      <c r="I311" s="55">
        <v>12.8</v>
      </c>
      <c r="J311" s="55">
        <v>12.6</v>
      </c>
      <c r="K311" s="54"/>
      <c r="L311" s="56" t="b">
        <v>0</v>
      </c>
      <c r="M311" s="56" t="b">
        <v>0</v>
      </c>
      <c r="N311" s="54">
        <v>1</v>
      </c>
      <c r="O311" s="54" t="s">
        <v>228</v>
      </c>
      <c r="P311" s="54">
        <v>37</v>
      </c>
      <c r="Q311" s="54">
        <v>12</v>
      </c>
      <c r="R311" s="54">
        <v>100</v>
      </c>
      <c r="S311" s="54" t="s">
        <v>1748</v>
      </c>
      <c r="T311" s="54"/>
      <c r="U311" s="54" t="s">
        <v>1747</v>
      </c>
      <c r="V311" s="54" t="s">
        <v>1752</v>
      </c>
      <c r="W311" s="54" t="b">
        <v>0</v>
      </c>
      <c r="X311" s="54"/>
      <c r="Y311" s="57" t="s">
        <v>1753</v>
      </c>
      <c r="Z311" s="54" t="s">
        <v>2190</v>
      </c>
      <c r="AA311" s="54"/>
      <c r="AB311" s="54" t="s">
        <v>1751</v>
      </c>
      <c r="AC311" s="56" t="b">
        <v>1</v>
      </c>
      <c r="AD311" s="56" t="b">
        <v>0</v>
      </c>
      <c r="AE311" s="54" t="s">
        <v>303</v>
      </c>
      <c r="AF311" s="58">
        <v>46236</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6.2899999999999998E-2</v>
      </c>
      <c r="BC311" s="60">
        <v>4.0599999999999996</v>
      </c>
      <c r="BD311" s="61">
        <v>6.1196E-2</v>
      </c>
      <c r="BE311" s="62" t="s">
        <v>293</v>
      </c>
      <c r="BF311" s="35">
        <f t="shared" si="0"/>
        <v>4.0600000000000005</v>
      </c>
      <c r="BG311" s="35">
        <f t="shared" si="0"/>
        <v>6.0295000000000001E-2</v>
      </c>
      <c r="BH311" s="35" t="str">
        <f t="shared" si="640"/>
        <v>Low</v>
      </c>
      <c r="BI311" s="110">
        <f t="shared" si="641"/>
        <v>0</v>
      </c>
      <c r="BJ311" s="83" t="str">
        <f>VLOOKUP($F311,REP_Info!$D$6:$H$250,5,FALSE)</f>
        <v/>
      </c>
      <c r="BK311" s="30">
        <f t="shared" si="642"/>
        <v>13.131500000000001</v>
      </c>
      <c r="BL311" s="30">
        <f t="shared" si="642"/>
        <v>12.7255</v>
      </c>
      <c r="BM311" s="30">
        <f t="shared" si="642"/>
        <v>12.522500000000001</v>
      </c>
      <c r="BN311" s="29">
        <f t="shared" si="642"/>
        <v>12.454833333333333</v>
      </c>
      <c r="BO311" s="85" t="str">
        <f t="shared" si="2"/>
        <v>$$$</v>
      </c>
      <c r="BP311" s="88" t="str">
        <f t="shared" si="643"/>
        <v>$$$</v>
      </c>
      <c r="BQ311" s="88" t="str">
        <f t="shared" si="4"/>
        <v>$$$</v>
      </c>
      <c r="BR311" s="88" t="str">
        <f t="shared" si="5"/>
        <v>$$$</v>
      </c>
      <c r="BS311" s="29" t="e">
        <f t="shared" si="644"/>
        <v>#N/A</v>
      </c>
      <c r="BT311" s="29" t="e">
        <f t="shared" si="644"/>
        <v>#N/A</v>
      </c>
      <c r="BU311" s="29" t="e">
        <f t="shared" si="644"/>
        <v>#N/A</v>
      </c>
      <c r="BV311" s="29" t="e">
        <f t="shared" si="644"/>
        <v>#N/A</v>
      </c>
      <c r="BW311" s="29" t="e">
        <f t="shared" si="644"/>
        <v>#N/A</v>
      </c>
      <c r="BX311" s="29" t="e">
        <f t="shared" si="644"/>
        <v>#N/A</v>
      </c>
      <c r="BY311" s="29" t="e">
        <f t="shared" si="644"/>
        <v>#N/A</v>
      </c>
      <c r="BZ311" s="29" t="e">
        <f t="shared" si="644"/>
        <v>#N/A</v>
      </c>
      <c r="CA311" s="29" t="e">
        <f t="shared" si="644"/>
        <v>#N/A</v>
      </c>
      <c r="CB311" s="29" t="e">
        <f t="shared" si="644"/>
        <v>#N/A</v>
      </c>
      <c r="CC311" s="29" t="e">
        <f t="shared" si="644"/>
        <v>#N/A</v>
      </c>
      <c r="CD311" s="29" t="e">
        <f t="shared" si="644"/>
        <v>#N/A</v>
      </c>
      <c r="CE311" s="6" t="str">
        <f t="shared" si="616"/>
        <v/>
      </c>
      <c r="CF311" s="27" t="e">
        <f>IF(AND(CI311,NOT(AD311)),LOOKUP(CF$5,{0,750,1500},H311:J311),"")</f>
        <v>#N/A</v>
      </c>
      <c r="CG311" s="6" t="str">
        <f t="shared" si="617"/>
        <v/>
      </c>
      <c r="CH311" t="e">
        <f t="shared" si="645"/>
        <v>#N/A</v>
      </c>
      <c r="CI311" t="e">
        <f t="shared" si="646"/>
        <v>#N/A</v>
      </c>
      <c r="CJ311" s="6" t="e">
        <f t="shared" si="11"/>
        <v>#N/A</v>
      </c>
      <c r="CK311" s="6">
        <f t="shared" si="12"/>
        <v>1</v>
      </c>
      <c r="CL311" s="6">
        <f t="shared" si="26"/>
        <v>1</v>
      </c>
      <c r="CM311" s="6">
        <f t="shared" si="13"/>
        <v>1</v>
      </c>
      <c r="CN311" s="6">
        <f t="shared" si="14"/>
        <v>1</v>
      </c>
      <c r="CO311" s="6">
        <f t="shared" si="15"/>
        <v>1</v>
      </c>
      <c r="CP311" s="6">
        <f t="shared" si="16"/>
        <v>1</v>
      </c>
      <c r="CQ311" s="6">
        <f t="shared" si="647"/>
        <v>1</v>
      </c>
      <c r="CR311" s="81" t="str">
        <f t="shared" si="17"/>
        <v/>
      </c>
      <c r="CS311">
        <f t="shared" si="648"/>
        <v>0</v>
      </c>
      <c r="CT311">
        <f t="shared" si="615"/>
        <v>100</v>
      </c>
      <c r="CU311" t="str">
        <f t="shared" si="29"/>
        <v/>
      </c>
      <c r="CV311" s="81">
        <f t="shared" si="649"/>
        <v>100</v>
      </c>
      <c r="CW311" s="81">
        <f>(CV311/25)^1.5*(Calculator!$BU$4/10000)*CW$5</f>
        <v>20.656847999999979</v>
      </c>
      <c r="CX311" t="str">
        <f t="shared" si="650"/>
        <v>$100</v>
      </c>
    </row>
    <row r="312" spans="2:102" x14ac:dyDescent="0.25">
      <c r="B312" s="115" t="s">
        <v>233</v>
      </c>
      <c r="C312" s="13">
        <v>46236.341666666667</v>
      </c>
      <c r="D312">
        <v>35975</v>
      </c>
      <c r="E312" s="54" t="s">
        <v>235</v>
      </c>
      <c r="F312" s="54" t="s">
        <v>728</v>
      </c>
      <c r="G312" s="54" t="s">
        <v>1754</v>
      </c>
      <c r="H312" s="55">
        <v>24</v>
      </c>
      <c r="I312" s="55">
        <v>12</v>
      </c>
      <c r="J312" s="55">
        <v>13</v>
      </c>
      <c r="K312" s="54" t="s">
        <v>1755</v>
      </c>
      <c r="L312" s="56" t="b">
        <v>0</v>
      </c>
      <c r="M312" s="56" t="b">
        <v>0</v>
      </c>
      <c r="N312" s="54">
        <v>1</v>
      </c>
      <c r="O312" s="54" t="s">
        <v>228</v>
      </c>
      <c r="P312" s="54">
        <v>37</v>
      </c>
      <c r="Q312" s="54">
        <v>12</v>
      </c>
      <c r="R312" s="54">
        <v>200</v>
      </c>
      <c r="S312" s="54" t="s">
        <v>1748</v>
      </c>
      <c r="T312" s="54"/>
      <c r="U312" s="54" t="s">
        <v>1743</v>
      </c>
      <c r="V312" s="54" t="s">
        <v>1756</v>
      </c>
      <c r="W312" s="54" t="b">
        <v>0</v>
      </c>
      <c r="X312" s="54"/>
      <c r="Y312" s="57" t="s">
        <v>1757</v>
      </c>
      <c r="Z312" s="54" t="s">
        <v>2190</v>
      </c>
      <c r="AA312" s="54"/>
      <c r="AB312" s="54" t="s">
        <v>1751</v>
      </c>
      <c r="AC312" s="56" t="b">
        <v>1</v>
      </c>
      <c r="AD312" s="56" t="b">
        <v>1</v>
      </c>
      <c r="AE312" s="54" t="s">
        <v>303</v>
      </c>
      <c r="AF312" s="58">
        <v>46236</v>
      </c>
      <c r="AG312" s="62" t="s">
        <v>293</v>
      </c>
      <c r="AH312" s="54">
        <v>0</v>
      </c>
      <c r="AI312" s="54"/>
      <c r="AJ312" s="54"/>
      <c r="AK312" s="54"/>
      <c r="AL312" s="54"/>
      <c r="AM312" s="54">
        <v>120</v>
      </c>
      <c r="AN312" s="54"/>
      <c r="AO312" s="54"/>
      <c r="AP312" s="54"/>
      <c r="AQ312" s="54"/>
      <c r="AR312" s="54"/>
      <c r="AS312" s="54"/>
      <c r="AT312" s="54"/>
      <c r="AU312" s="54">
        <v>0</v>
      </c>
      <c r="AV312" s="54">
        <v>1001</v>
      </c>
      <c r="AW312" s="54"/>
      <c r="AX312" s="59"/>
      <c r="AY312" s="59"/>
      <c r="AZ312" s="59"/>
      <c r="BA312" s="59">
        <v>0</v>
      </c>
      <c r="BB312" s="59">
        <v>0.14000000000000001</v>
      </c>
      <c r="BC312" s="60"/>
      <c r="BD312" s="61"/>
      <c r="BE312" s="62" t="s">
        <v>729</v>
      </c>
      <c r="BF312" s="35">
        <f t="shared" si="0"/>
        <v>4.9000000000000004</v>
      </c>
      <c r="BG312" s="35">
        <f t="shared" si="0"/>
        <v>5.1461E-2</v>
      </c>
      <c r="BH312" s="35" t="str">
        <f t="shared" si="640"/>
        <v>High</v>
      </c>
      <c r="BI312" s="110">
        <f t="shared" si="641"/>
        <v>0</v>
      </c>
      <c r="BJ312" s="83" t="str">
        <f>VLOOKUP($F312,REP_Info!$D$6:$H$250,5,FALSE)</f>
        <v/>
      </c>
      <c r="BK312" s="30">
        <f t="shared" si="642"/>
        <v>24</v>
      </c>
      <c r="BL312" s="30">
        <f t="shared" si="642"/>
        <v>12</v>
      </c>
      <c r="BM312" s="30">
        <f t="shared" si="642"/>
        <v>12.993</v>
      </c>
      <c r="BN312" s="29">
        <f t="shared" si="642"/>
        <v>13.328666666666667</v>
      </c>
      <c r="BO312" s="85" t="str">
        <f t="shared" si="2"/>
        <v>$$$</v>
      </c>
      <c r="BP312" s="88" t="str">
        <f t="shared" si="643"/>
        <v>$$$</v>
      </c>
      <c r="BQ312" s="88" t="str">
        <f t="shared" si="4"/>
        <v>$$$</v>
      </c>
      <c r="BR312" s="88" t="str">
        <f t="shared" si="5"/>
        <v>$$$</v>
      </c>
      <c r="BS312" s="29" t="e">
        <f t="shared" si="644"/>
        <v>#N/A</v>
      </c>
      <c r="BT312" s="29" t="e">
        <f t="shared" si="644"/>
        <v>#N/A</v>
      </c>
      <c r="BU312" s="29" t="e">
        <f t="shared" si="644"/>
        <v>#N/A</v>
      </c>
      <c r="BV312" s="29" t="e">
        <f t="shared" si="644"/>
        <v>#N/A</v>
      </c>
      <c r="BW312" s="29" t="e">
        <f t="shared" si="644"/>
        <v>#N/A</v>
      </c>
      <c r="BX312" s="29" t="e">
        <f t="shared" si="644"/>
        <v>#N/A</v>
      </c>
      <c r="BY312" s="29" t="e">
        <f t="shared" si="644"/>
        <v>#N/A</v>
      </c>
      <c r="BZ312" s="29" t="e">
        <f t="shared" si="644"/>
        <v>#N/A</v>
      </c>
      <c r="CA312" s="29" t="e">
        <f t="shared" si="644"/>
        <v>#N/A</v>
      </c>
      <c r="CB312" s="29" t="e">
        <f t="shared" si="644"/>
        <v>#N/A</v>
      </c>
      <c r="CC312" s="29" t="e">
        <f t="shared" si="644"/>
        <v>#N/A</v>
      </c>
      <c r="CD312" s="29" t="e">
        <f t="shared" si="644"/>
        <v>#N/A</v>
      </c>
      <c r="CE312" s="6" t="str">
        <f t="shared" si="616"/>
        <v/>
      </c>
      <c r="CF312" s="27" t="e">
        <f>IF(AND(CI312,NOT(AD312)),LOOKUP(CF$5,{0,750,1500},H312:J312),"")</f>
        <v>#N/A</v>
      </c>
      <c r="CG312" s="6" t="str">
        <f t="shared" si="617"/>
        <v/>
      </c>
      <c r="CH312" t="e">
        <f t="shared" si="645"/>
        <v>#N/A</v>
      </c>
      <c r="CI312" t="e">
        <f t="shared" si="646"/>
        <v>#N/A</v>
      </c>
      <c r="CJ312" s="6" t="e">
        <f t="shared" si="11"/>
        <v>#N/A</v>
      </c>
      <c r="CK312" s="6">
        <f t="shared" si="12"/>
        <v>1</v>
      </c>
      <c r="CL312" s="6">
        <f t="shared" si="26"/>
        <v>1</v>
      </c>
      <c r="CM312" s="6">
        <f t="shared" si="13"/>
        <v>1</v>
      </c>
      <c r="CN312" s="6">
        <f t="shared" si="14"/>
        <v>1</v>
      </c>
      <c r="CO312" s="6">
        <f t="shared" si="15"/>
        <v>1</v>
      </c>
      <c r="CP312" s="6">
        <f t="shared" si="16"/>
        <v>1</v>
      </c>
      <c r="CQ312" s="6">
        <f t="shared" si="647"/>
        <v>1</v>
      </c>
      <c r="CR312" s="81" t="str">
        <f t="shared" si="17"/>
        <v/>
      </c>
      <c r="CS312">
        <f t="shared" si="648"/>
        <v>0</v>
      </c>
      <c r="CT312">
        <f t="shared" si="615"/>
        <v>200</v>
      </c>
      <c r="CU312" t="str">
        <f t="shared" si="29"/>
        <v/>
      </c>
      <c r="CV312" s="81">
        <f t="shared" si="649"/>
        <v>200</v>
      </c>
      <c r="CW312" s="81">
        <f>(CV312/25)^1.5*(Calculator!$BU$4/10000)*CW$5</f>
        <v>58.426389194959008</v>
      </c>
      <c r="CX312" t="str">
        <f t="shared" si="650"/>
        <v>$200</v>
      </c>
    </row>
    <row r="313" spans="2:102" x14ac:dyDescent="0.25">
      <c r="B313" s="115" t="s">
        <v>233</v>
      </c>
      <c r="C313" s="13">
        <v>46236.341666666667</v>
      </c>
      <c r="D313">
        <v>35979</v>
      </c>
      <c r="E313" s="54" t="s">
        <v>237</v>
      </c>
      <c r="F313" s="54" t="s">
        <v>728</v>
      </c>
      <c r="G313" s="54" t="s">
        <v>1754</v>
      </c>
      <c r="H313" s="55">
        <v>26</v>
      </c>
      <c r="I313" s="55">
        <v>13</v>
      </c>
      <c r="J313" s="55">
        <v>13.5</v>
      </c>
      <c r="K313" s="54" t="s">
        <v>1755</v>
      </c>
      <c r="L313" s="56" t="b">
        <v>0</v>
      </c>
      <c r="M313" s="56" t="b">
        <v>0</v>
      </c>
      <c r="N313" s="54">
        <v>1</v>
      </c>
      <c r="O313" s="54" t="s">
        <v>228</v>
      </c>
      <c r="P313" s="54">
        <v>37</v>
      </c>
      <c r="Q313" s="54">
        <v>12</v>
      </c>
      <c r="R313" s="54">
        <v>200</v>
      </c>
      <c r="S313" s="54" t="s">
        <v>1748</v>
      </c>
      <c r="T313" s="54"/>
      <c r="U313" s="54" t="s">
        <v>1745</v>
      </c>
      <c r="V313" s="54" t="s">
        <v>1758</v>
      </c>
      <c r="W313" s="54" t="b">
        <v>0</v>
      </c>
      <c r="X313" s="54"/>
      <c r="Y313" s="57" t="s">
        <v>1759</v>
      </c>
      <c r="Z313" s="54" t="s">
        <v>2190</v>
      </c>
      <c r="AA313" s="54"/>
      <c r="AB313" s="54" t="s">
        <v>1751</v>
      </c>
      <c r="AC313" s="56" t="b">
        <v>1</v>
      </c>
      <c r="AD313" s="56" t="b">
        <v>1</v>
      </c>
      <c r="AE313" s="54" t="s">
        <v>303</v>
      </c>
      <c r="AF313" s="58">
        <v>46236</v>
      </c>
      <c r="AG313" s="62" t="s">
        <v>293</v>
      </c>
      <c r="AH313" s="54">
        <v>0</v>
      </c>
      <c r="AI313" s="54"/>
      <c r="AJ313" s="54"/>
      <c r="AK313" s="54"/>
      <c r="AL313" s="54"/>
      <c r="AM313" s="54">
        <v>130</v>
      </c>
      <c r="AN313" s="54"/>
      <c r="AO313" s="54"/>
      <c r="AP313" s="54"/>
      <c r="AQ313" s="54"/>
      <c r="AR313" s="54"/>
      <c r="AS313" s="54"/>
      <c r="AT313" s="54"/>
      <c r="AU313" s="54">
        <v>0</v>
      </c>
      <c r="AV313" s="54">
        <v>1001</v>
      </c>
      <c r="AW313" s="54"/>
      <c r="AX313" s="59"/>
      <c r="AY313" s="59"/>
      <c r="AZ313" s="59"/>
      <c r="BA313" s="59">
        <v>0</v>
      </c>
      <c r="BB313" s="59">
        <v>0.14000000000000001</v>
      </c>
      <c r="BC313" s="60"/>
      <c r="BD313" s="61"/>
      <c r="BE313" s="62" t="s">
        <v>729</v>
      </c>
      <c r="BF313" s="35">
        <f t="shared" si="0"/>
        <v>4.0600000000000005</v>
      </c>
      <c r="BG313" s="35">
        <f t="shared" si="0"/>
        <v>6.0295000000000001E-2</v>
      </c>
      <c r="BH313" s="35" t="str">
        <f t="shared" si="640"/>
        <v>High</v>
      </c>
      <c r="BI313" s="110">
        <f t="shared" si="641"/>
        <v>0</v>
      </c>
      <c r="BJ313" s="83" t="str">
        <f>VLOOKUP($F313,REP_Info!$D$6:$H$250,5,FALSE)</f>
        <v/>
      </c>
      <c r="BK313" s="30">
        <f t="shared" si="642"/>
        <v>26</v>
      </c>
      <c r="BL313" s="30">
        <f t="shared" si="642"/>
        <v>13</v>
      </c>
      <c r="BM313" s="30">
        <f t="shared" si="642"/>
        <v>13.493</v>
      </c>
      <c r="BN313" s="29">
        <f t="shared" si="642"/>
        <v>13.662000000000001</v>
      </c>
      <c r="BO313" s="85" t="str">
        <f t="shared" si="2"/>
        <v>$$$</v>
      </c>
      <c r="BP313" s="88" t="str">
        <f t="shared" si="643"/>
        <v>$$$</v>
      </c>
      <c r="BQ313" s="88" t="str">
        <f t="shared" si="4"/>
        <v>$$$</v>
      </c>
      <c r="BR313" s="88" t="str">
        <f t="shared" si="5"/>
        <v>$$$</v>
      </c>
      <c r="BS313" s="29" t="e">
        <f t="shared" si="644"/>
        <v>#N/A</v>
      </c>
      <c r="BT313" s="29" t="e">
        <f t="shared" si="644"/>
        <v>#N/A</v>
      </c>
      <c r="BU313" s="29" t="e">
        <f t="shared" si="644"/>
        <v>#N/A</v>
      </c>
      <c r="BV313" s="29" t="e">
        <f t="shared" si="644"/>
        <v>#N/A</v>
      </c>
      <c r="BW313" s="29" t="e">
        <f t="shared" si="644"/>
        <v>#N/A</v>
      </c>
      <c r="BX313" s="29" t="e">
        <f t="shared" si="644"/>
        <v>#N/A</v>
      </c>
      <c r="BY313" s="29" t="e">
        <f t="shared" si="644"/>
        <v>#N/A</v>
      </c>
      <c r="BZ313" s="29" t="e">
        <f t="shared" si="644"/>
        <v>#N/A</v>
      </c>
      <c r="CA313" s="29" t="e">
        <f t="shared" si="644"/>
        <v>#N/A</v>
      </c>
      <c r="CB313" s="29" t="e">
        <f t="shared" si="644"/>
        <v>#N/A</v>
      </c>
      <c r="CC313" s="29" t="e">
        <f t="shared" si="644"/>
        <v>#N/A</v>
      </c>
      <c r="CD313" s="29" t="e">
        <f t="shared" si="644"/>
        <v>#N/A</v>
      </c>
      <c r="CE313" s="6" t="str">
        <f t="shared" si="616"/>
        <v/>
      </c>
      <c r="CF313" s="27" t="e">
        <f>IF(AND(CI313,NOT(AD313)),LOOKUP(CF$5,{0,750,1500},H313:J313),"")</f>
        <v>#N/A</v>
      </c>
      <c r="CG313" s="6" t="str">
        <f t="shared" si="617"/>
        <v/>
      </c>
      <c r="CH313" t="e">
        <f t="shared" si="645"/>
        <v>#N/A</v>
      </c>
      <c r="CI313" t="e">
        <f t="shared" si="646"/>
        <v>#N/A</v>
      </c>
      <c r="CJ313" s="6" t="e">
        <f t="shared" si="11"/>
        <v>#N/A</v>
      </c>
      <c r="CK313" s="6">
        <f t="shared" si="12"/>
        <v>1</v>
      </c>
      <c r="CL313" s="6">
        <f t="shared" si="26"/>
        <v>1</v>
      </c>
      <c r="CM313" s="6">
        <f t="shared" si="13"/>
        <v>1</v>
      </c>
      <c r="CN313" s="6">
        <f t="shared" si="14"/>
        <v>1</v>
      </c>
      <c r="CO313" s="6">
        <f t="shared" si="15"/>
        <v>1</v>
      </c>
      <c r="CP313" s="6">
        <f t="shared" si="16"/>
        <v>1</v>
      </c>
      <c r="CQ313" s="6">
        <f t="shared" si="647"/>
        <v>1</v>
      </c>
      <c r="CR313" s="81" t="str">
        <f t="shared" si="17"/>
        <v/>
      </c>
      <c r="CS313">
        <f t="shared" si="648"/>
        <v>0</v>
      </c>
      <c r="CT313">
        <f t="shared" si="615"/>
        <v>200</v>
      </c>
      <c r="CU313" t="str">
        <f t="shared" si="29"/>
        <v/>
      </c>
      <c r="CV313" s="81">
        <f t="shared" si="649"/>
        <v>200</v>
      </c>
      <c r="CW313" s="81">
        <f>(CV313/25)^1.5*(Calculator!$BU$4/10000)*CW$5</f>
        <v>58.426389194959008</v>
      </c>
      <c r="CX313" t="str">
        <f t="shared" si="650"/>
        <v>$200</v>
      </c>
    </row>
    <row r="314" spans="2:102" x14ac:dyDescent="0.25">
      <c r="B314" s="115" t="s">
        <v>233</v>
      </c>
      <c r="C314" s="13">
        <v>46236.341666666667</v>
      </c>
      <c r="D314">
        <v>35986</v>
      </c>
      <c r="E314" s="54" t="s">
        <v>235</v>
      </c>
      <c r="F314" s="54" t="s">
        <v>728</v>
      </c>
      <c r="G314" s="54" t="s">
        <v>697</v>
      </c>
      <c r="H314" s="55">
        <v>12.5</v>
      </c>
      <c r="I314" s="55">
        <v>12</v>
      </c>
      <c r="J314" s="55">
        <v>11.799999999999999</v>
      </c>
      <c r="K314" s="54"/>
      <c r="L314" s="56" t="b">
        <v>0</v>
      </c>
      <c r="M314" s="56" t="b">
        <v>0</v>
      </c>
      <c r="N314" s="54">
        <v>1</v>
      </c>
      <c r="O314" s="54" t="s">
        <v>228</v>
      </c>
      <c r="P314" s="54">
        <v>37</v>
      </c>
      <c r="Q314" s="54">
        <v>6</v>
      </c>
      <c r="R314" s="54">
        <v>100</v>
      </c>
      <c r="S314" s="54" t="s">
        <v>1748</v>
      </c>
      <c r="T314" s="54"/>
      <c r="U314" s="54" t="s">
        <v>1741</v>
      </c>
      <c r="V314" s="54" t="s">
        <v>1760</v>
      </c>
      <c r="W314" s="54" t="b">
        <v>0</v>
      </c>
      <c r="X314" s="54"/>
      <c r="Y314" s="57" t="s">
        <v>1761</v>
      </c>
      <c r="Z314" s="54" t="s">
        <v>2190</v>
      </c>
      <c r="AA314" s="54"/>
      <c r="AB314" s="54" t="s">
        <v>1751</v>
      </c>
      <c r="AC314" s="56" t="b">
        <v>1</v>
      </c>
      <c r="AD314" s="56" t="b">
        <v>0</v>
      </c>
      <c r="AE314" s="54" t="s">
        <v>303</v>
      </c>
      <c r="AF314" s="58">
        <v>46236</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6.3899999999999998E-2</v>
      </c>
      <c r="BC314" s="60">
        <v>4.9000000000000004</v>
      </c>
      <c r="BD314" s="61">
        <v>5.1461E-2</v>
      </c>
      <c r="BE314" s="62" t="s">
        <v>293</v>
      </c>
      <c r="BF314" s="35">
        <f t="shared" ref="BF314:BG314" si="651">IF($E314=$E$4,BF$4,IF($E314=$E$5,BF$5,""))</f>
        <v>4.9000000000000004</v>
      </c>
      <c r="BG314" s="35">
        <f t="shared" si="651"/>
        <v>5.1461E-2</v>
      </c>
      <c r="BH314" s="35" t="str">
        <f t="shared" si="640"/>
        <v>Low</v>
      </c>
      <c r="BI314" s="110">
        <f t="shared" si="641"/>
        <v>0</v>
      </c>
      <c r="BJ314" s="83" t="str">
        <f>VLOOKUP($F314,REP_Info!$D$6:$H$250,5,FALSE)</f>
        <v/>
      </c>
      <c r="BK314" s="30">
        <f t="shared" si="642"/>
        <v>12.5161</v>
      </c>
      <c r="BL314" s="30">
        <f t="shared" si="642"/>
        <v>12.0261</v>
      </c>
      <c r="BM314" s="30">
        <f t="shared" si="642"/>
        <v>11.781099999999999</v>
      </c>
      <c r="BN314" s="29">
        <f t="shared" si="642"/>
        <v>11.699433333333335</v>
      </c>
      <c r="BO314" s="85" t="str">
        <f t="shared" ref="BO314" si="652">IFERROR(SUMPRODUCT($BS$7:$CD$7,$BS314:$CD314)/100,"$$$")</f>
        <v>$$$</v>
      </c>
      <c r="BP314" s="88" t="str">
        <f t="shared" si="643"/>
        <v>$$$</v>
      </c>
      <c r="BQ314" s="88" t="str">
        <f t="shared" ref="BQ314" si="653">IFERROR(SUMPRODUCT($BS$7:$CD$7,$BS314:$CD314,--($BS$4:$CD$4&lt;=$Q314))/SUMPRODUCT(--($BS$4:$CD$4&lt;=$Q314),$BS$7:$CD$7),"$$$")</f>
        <v>$$$</v>
      </c>
      <c r="BR314" s="88" t="str">
        <f t="shared" ref="BR314" si="654">IFERROR($BQ314-$BF314*100*SUMPRODUCT(--($BS$4:$CD$4&lt;=$Q314))/SUMPRODUCT(--($BS$4:$CD$4&lt;=$Q314),$BS$7:$CD$7)-$BG314*100,"$$$")</f>
        <v>$$$</v>
      </c>
      <c r="BS314" s="29" t="e">
        <f t="shared" si="644"/>
        <v>#N/A</v>
      </c>
      <c r="BT314" s="29" t="e">
        <f t="shared" si="644"/>
        <v>#N/A</v>
      </c>
      <c r="BU314" s="29" t="e">
        <f t="shared" si="644"/>
        <v>#N/A</v>
      </c>
      <c r="BV314" s="29" t="e">
        <f t="shared" si="644"/>
        <v>#N/A</v>
      </c>
      <c r="BW314" s="29" t="e">
        <f t="shared" si="644"/>
        <v>#N/A</v>
      </c>
      <c r="BX314" s="29" t="e">
        <f t="shared" si="644"/>
        <v>#N/A</v>
      </c>
      <c r="BY314" s="29" t="e">
        <f t="shared" si="644"/>
        <v>#N/A</v>
      </c>
      <c r="BZ314" s="29" t="e">
        <f t="shared" si="644"/>
        <v>#N/A</v>
      </c>
      <c r="CA314" s="29" t="e">
        <f t="shared" si="644"/>
        <v>#N/A</v>
      </c>
      <c r="CB314" s="29" t="e">
        <f t="shared" si="644"/>
        <v>#N/A</v>
      </c>
      <c r="CC314" s="29" t="e">
        <f t="shared" si="644"/>
        <v>#N/A</v>
      </c>
      <c r="CD314" s="29" t="e">
        <f t="shared" si="644"/>
        <v>#N/A</v>
      </c>
      <c r="CE314" s="6" t="str">
        <f t="shared" si="616"/>
        <v/>
      </c>
      <c r="CF314" s="27" t="e">
        <f>IF(AND(CI314,NOT(AD314)),LOOKUP(CF$5,{0,750,1500},H314:J314),"")</f>
        <v>#N/A</v>
      </c>
      <c r="CG314" s="6" t="str">
        <f t="shared" si="617"/>
        <v/>
      </c>
      <c r="CH314" t="e">
        <f t="shared" si="645"/>
        <v>#N/A</v>
      </c>
      <c r="CI314" t="e">
        <f t="shared" si="646"/>
        <v>#N/A</v>
      </c>
      <c r="CJ314" s="6" t="e">
        <f t="shared" ref="CJ314" si="655">IF($E314=CJ$5,1,0)</f>
        <v>#N/A</v>
      </c>
      <c r="CK314" s="6">
        <f t="shared" ref="CK314" si="656">IF(CK$5="[Any]",1,IF($F314=CK$5,1,0))</f>
        <v>1</v>
      </c>
      <c r="CL314" s="6">
        <f t="shared" si="26"/>
        <v>1</v>
      </c>
      <c r="CM314" s="6">
        <f t="shared" ref="CM314" si="657">IF($O314="Fixed",1,0)</f>
        <v>1</v>
      </c>
      <c r="CN314" s="6">
        <f t="shared" ref="CN314" si="658">IF($Q314&gt;=CN$5,1,0)</f>
        <v>0</v>
      </c>
      <c r="CO314" s="6">
        <f t="shared" ref="CO314" si="659">IF($Q314&lt;=CO$5,1,0)</f>
        <v>1</v>
      </c>
      <c r="CP314" s="6">
        <f t="shared" ref="CP314" si="660">IF($P314&gt;=CP$5,1,0)</f>
        <v>1</v>
      </c>
      <c r="CQ314" s="6">
        <f t="shared" si="647"/>
        <v>1</v>
      </c>
      <c r="CR314" s="81" t="str">
        <f t="shared" ref="CR314" si="661">IF(ISNUMBER($CH314),$CH314+$CS314+$CW314,"")</f>
        <v/>
      </c>
      <c r="CS314">
        <f t="shared" si="648"/>
        <v>18</v>
      </c>
      <c r="CT314">
        <f t="shared" si="615"/>
        <v>100</v>
      </c>
      <c r="CU314" t="str">
        <f t="shared" si="29"/>
        <v/>
      </c>
      <c r="CV314" s="81">
        <f t="shared" si="649"/>
        <v>100</v>
      </c>
      <c r="CW314" s="81">
        <f>(CV314/25)^1.5*(Calculator!$BU$4/10000)*CW$5</f>
        <v>20.656847999999979</v>
      </c>
      <c r="CX314" t="str">
        <f t="shared" si="650"/>
        <v>$100</v>
      </c>
    </row>
    <row r="315" spans="2:102" x14ac:dyDescent="0.25">
      <c r="B315" s="115" t="s">
        <v>233</v>
      </c>
      <c r="C315" s="13">
        <v>46236.341666666667</v>
      </c>
      <c r="D315">
        <v>35990</v>
      </c>
      <c r="E315" s="54" t="s">
        <v>237</v>
      </c>
      <c r="F315" s="54" t="s">
        <v>728</v>
      </c>
      <c r="G315" s="54" t="s">
        <v>697</v>
      </c>
      <c r="H315" s="55">
        <v>13.200000000000001</v>
      </c>
      <c r="I315" s="55">
        <v>12.8</v>
      </c>
      <c r="J315" s="55">
        <v>12.6</v>
      </c>
      <c r="K315" s="54"/>
      <c r="L315" s="56" t="b">
        <v>0</v>
      </c>
      <c r="M315" s="56" t="b">
        <v>0</v>
      </c>
      <c r="N315" s="54">
        <v>1</v>
      </c>
      <c r="O315" s="54" t="s">
        <v>228</v>
      </c>
      <c r="P315" s="54">
        <v>37</v>
      </c>
      <c r="Q315" s="54">
        <v>6</v>
      </c>
      <c r="R315" s="54">
        <v>100</v>
      </c>
      <c r="S315" s="54" t="s">
        <v>1748</v>
      </c>
      <c r="T315" s="54"/>
      <c r="U315" s="54" t="s">
        <v>1742</v>
      </c>
      <c r="V315" s="54" t="s">
        <v>1762</v>
      </c>
      <c r="W315" s="54" t="b">
        <v>0</v>
      </c>
      <c r="X315" s="54"/>
      <c r="Y315" s="57" t="s">
        <v>1763</v>
      </c>
      <c r="Z315" s="54" t="s">
        <v>2190</v>
      </c>
      <c r="AA315" s="54"/>
      <c r="AB315" s="54" t="s">
        <v>1751</v>
      </c>
      <c r="AC315" s="56" t="b">
        <v>1</v>
      </c>
      <c r="AD315" s="56" t="b">
        <v>0</v>
      </c>
      <c r="AE315" s="54" t="s">
        <v>303</v>
      </c>
      <c r="AF315" s="58">
        <v>46236</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6.2899999999999998E-2</v>
      </c>
      <c r="BC315" s="60">
        <v>4.0599999999999996</v>
      </c>
      <c r="BD315" s="61">
        <v>6.1196E-2</v>
      </c>
      <c r="BE315" s="62" t="s">
        <v>293</v>
      </c>
      <c r="BF315" s="35">
        <f t="shared" si="0"/>
        <v>4.0600000000000005</v>
      </c>
      <c r="BG315" s="35">
        <f t="shared" si="0"/>
        <v>6.0295000000000001E-2</v>
      </c>
      <c r="BH315" s="35" t="str">
        <f t="shared" ref="BH315:BH317" si="662">IF(ISTEXT(BE315),IF(AND(AV315=0,SUM(AN315:AQ315)=0),IF(AM315&lt;=0,IF(BE315="Y","Low","Flat"),"Med"),"High"),"?")</f>
        <v>Low</v>
      </c>
      <c r="BI315" s="110">
        <f t="shared" ref="BI315:BI317" si="663">IF(ISNUMBER(AH315),0*BI$5*SIN((EDATE($A$3,$Q315)-DATE(YEAR(EDATE($A$3,$Q315)),1,0)-BI$4)*2*PI()/365),"")</f>
        <v>0</v>
      </c>
      <c r="BJ315" s="83" t="str">
        <f>VLOOKUP($F315,REP_Info!$D$6:$H$250,5,FALSE)</f>
        <v/>
      </c>
      <c r="BK315" s="30">
        <f t="shared" ref="BK315:BN317" si="664">IF(BK$7&gt;0,(LOOKUP(BK$7,$AH315:$AL315,$AM315:$AQ315)+IF($AG315="Y",SUMPRODUCT($AX315:$BB315-$AW315:$BA315,BK$7-$AR315:$AV315,N(BK$7&gt;$AR315:$AV315)),BK$7*LOOKUP(BK$7,$AR315:$AV315,$AX315:$BB315))+IF($BE315="Y",$BF315,$BC315)+BK$7*IF($BE315="Y",$BG315,$BD315))*100/BK$7,"")</f>
        <v>13.131500000000001</v>
      </c>
      <c r="BL315" s="30">
        <f t="shared" si="664"/>
        <v>12.7255</v>
      </c>
      <c r="BM315" s="30">
        <f t="shared" si="664"/>
        <v>12.522500000000001</v>
      </c>
      <c r="BN315" s="29">
        <f t="shared" si="664"/>
        <v>12.454833333333333</v>
      </c>
      <c r="BO315" s="85" t="str">
        <f t="shared" si="2"/>
        <v>$$$</v>
      </c>
      <c r="BP315" s="88" t="str">
        <f t="shared" ref="BP315:BP317" si="665">IFERROR(BO315*100/BO$5,"$$$")</f>
        <v>$$$</v>
      </c>
      <c r="BQ315" s="88" t="str">
        <f t="shared" si="4"/>
        <v>$$$</v>
      </c>
      <c r="BR315" s="88" t="str">
        <f t="shared" si="5"/>
        <v>$$$</v>
      </c>
      <c r="BS315" s="29" t="e">
        <f t="shared" ref="BS315:CD317" si="666">IF($CI315,IF(BS$7&gt;0,IF(BS$4&gt;$Q315,$BF315+BS$7*(BS$5+$BG315+$BI315),LOOKUP(BS$7,$AH315:$AL315,$AM315:$AQ315)+IF($AG315="Y",SUMPRODUCT($AX315:$BB315-$AW315:$BA315,BS$7-$AR315:$AV315,N(BS$7&gt;$AR315:$AV315)),BS$7*LOOKUP(BS$7,$AR315:$AV315,$AX315:$BB315))+IF($BE315="Y",$BF315,$BC315)+BS$7*IF($BE315="Y",$BG315,$BD315))*100/BS$7,""),NA())</f>
        <v>#N/A</v>
      </c>
      <c r="BT315" s="29" t="e">
        <f t="shared" si="666"/>
        <v>#N/A</v>
      </c>
      <c r="BU315" s="29" t="e">
        <f t="shared" si="666"/>
        <v>#N/A</v>
      </c>
      <c r="BV315" s="29" t="e">
        <f t="shared" si="666"/>
        <v>#N/A</v>
      </c>
      <c r="BW315" s="29" t="e">
        <f t="shared" si="666"/>
        <v>#N/A</v>
      </c>
      <c r="BX315" s="29" t="e">
        <f t="shared" si="666"/>
        <v>#N/A</v>
      </c>
      <c r="BY315" s="29" t="e">
        <f t="shared" si="666"/>
        <v>#N/A</v>
      </c>
      <c r="BZ315" s="29" t="e">
        <f t="shared" si="666"/>
        <v>#N/A</v>
      </c>
      <c r="CA315" s="29" t="e">
        <f t="shared" si="666"/>
        <v>#N/A</v>
      </c>
      <c r="CB315" s="29" t="e">
        <f t="shared" si="666"/>
        <v>#N/A</v>
      </c>
      <c r="CC315" s="29" t="e">
        <f t="shared" si="666"/>
        <v>#N/A</v>
      </c>
      <c r="CD315" s="29" t="e">
        <f t="shared" si="666"/>
        <v>#N/A</v>
      </c>
      <c r="CE315" s="6" t="str">
        <f t="shared" si="616"/>
        <v/>
      </c>
      <c r="CF315" s="27" t="e">
        <f>IF(AND(CI315,NOT(AD315)),LOOKUP(CF$5,{0,750,1500},H315:J315),"")</f>
        <v>#N/A</v>
      </c>
      <c r="CG315" s="6" t="str">
        <f t="shared" si="617"/>
        <v/>
      </c>
      <c r="CH315" t="e">
        <f t="shared" ref="CH315:CH317" si="667">IF(CI315,IF(ISNUMBER(BO315),BO315,100000)+CV315/10000+IF(ISNUMBER(BJ315),BJ315,2)/10000-P315/100000+ROW()/10000000,"")</f>
        <v>#N/A</v>
      </c>
      <c r="CI315" t="e">
        <f t="shared" ref="CI315:CI317" si="668">PRODUCT(CJ315:CQ315)</f>
        <v>#N/A</v>
      </c>
      <c r="CJ315" s="6" t="e">
        <f t="shared" si="11"/>
        <v>#N/A</v>
      </c>
      <c r="CK315" s="6">
        <f t="shared" si="12"/>
        <v>1</v>
      </c>
      <c r="CL315" s="6">
        <f t="shared" si="26"/>
        <v>1</v>
      </c>
      <c r="CM315" s="6">
        <f t="shared" si="13"/>
        <v>1</v>
      </c>
      <c r="CN315" s="6">
        <f t="shared" si="14"/>
        <v>0</v>
      </c>
      <c r="CO315" s="6">
        <f t="shared" si="15"/>
        <v>1</v>
      </c>
      <c r="CP315" s="6">
        <f t="shared" si="16"/>
        <v>1</v>
      </c>
      <c r="CQ315" s="6">
        <f t="shared" ref="CQ315:CQ317" si="669">IF(CQ$5="Any",1,IF(AND(CQ$5="Med",AV315=0,SUM(AN315:AQ315)=0),1,IF(AND(CQ$5="Low",AV315=0,SUM(AN315:AQ315)=0,AM315=0),1,IF(AND(CQ$5="Flat",AV315=0,SUM(AN315:AQ315)=0,AM315=0,IFERROR(NOT(BE315="Y"),0)),1,0))))</f>
        <v>1</v>
      </c>
      <c r="CR315" s="81" t="str">
        <f t="shared" si="17"/>
        <v/>
      </c>
      <c r="CS315">
        <f t="shared" ref="CS315:CS317" si="670">CS$5*(12/(MIN(12,Q315))-1)</f>
        <v>18</v>
      </c>
      <c r="CT315">
        <f t="shared" si="615"/>
        <v>100</v>
      </c>
      <c r="CU315" t="str">
        <f t="shared" si="29"/>
        <v/>
      </c>
      <c r="CV315" s="81">
        <f t="shared" ref="CV315:CV317" si="671">CT315*IF(CU315="",1,Q315)</f>
        <v>100</v>
      </c>
      <c r="CW315" s="81">
        <f>(CV315/25)^1.5*(Calculator!$BU$4/10000)*CW$5</f>
        <v>20.656847999999979</v>
      </c>
      <c r="CX315" t="str">
        <f t="shared" ref="CX315:CX317" si="672">"$"&amp;IF(LEFT(CU315,1)="r",CT315&amp;"/"&amp;CU315,CV315)</f>
        <v>$100</v>
      </c>
    </row>
    <row r="316" spans="2:102" x14ac:dyDescent="0.25">
      <c r="B316" s="115" t="s">
        <v>233</v>
      </c>
      <c r="C316" s="13">
        <v>46174.569444444445</v>
      </c>
      <c r="D316">
        <v>34473</v>
      </c>
      <c r="E316" s="54" t="s">
        <v>235</v>
      </c>
      <c r="F316" s="54" t="s">
        <v>730</v>
      </c>
      <c r="G316" s="54" t="s">
        <v>731</v>
      </c>
      <c r="H316" s="55">
        <v>14.899999999999999</v>
      </c>
      <c r="I316" s="55">
        <v>13.900000000000002</v>
      </c>
      <c r="J316" s="55">
        <v>13.4</v>
      </c>
      <c r="K316" s="54"/>
      <c r="L316" s="56" t="b">
        <v>0</v>
      </c>
      <c r="M316" s="56" t="b">
        <v>0</v>
      </c>
      <c r="N316" s="54">
        <v>1</v>
      </c>
      <c r="O316" s="54" t="s">
        <v>228</v>
      </c>
      <c r="P316" s="54">
        <v>100</v>
      </c>
      <c r="Q316" s="54">
        <v>12</v>
      </c>
      <c r="R316" s="54">
        <v>200</v>
      </c>
      <c r="S316" s="54" t="s">
        <v>732</v>
      </c>
      <c r="T316" s="54" t="s">
        <v>733</v>
      </c>
      <c r="U316" s="54" t="s">
        <v>734</v>
      </c>
      <c r="V316" s="54" t="s">
        <v>735</v>
      </c>
      <c r="W316" s="54" t="b">
        <v>0</v>
      </c>
      <c r="X316" s="54"/>
      <c r="Y316" s="57" t="s">
        <v>736</v>
      </c>
      <c r="Z316" s="54" t="s">
        <v>737</v>
      </c>
      <c r="AA316" s="54"/>
      <c r="AB316" s="54" t="s">
        <v>738</v>
      </c>
      <c r="AC316" s="56" t="b">
        <v>1</v>
      </c>
      <c r="AD316" s="56" t="b">
        <v>0</v>
      </c>
      <c r="AE316" s="54" t="s">
        <v>303</v>
      </c>
      <c r="AF316" s="58">
        <v>46174</v>
      </c>
      <c r="AG316" s="62" t="s">
        <v>293</v>
      </c>
      <c r="AH316" s="54">
        <v>0</v>
      </c>
      <c r="AI316" s="54"/>
      <c r="AJ316" s="54"/>
      <c r="AK316" s="54"/>
      <c r="AL316" s="54"/>
      <c r="AM316" s="54">
        <v>4.95</v>
      </c>
      <c r="AN316" s="54"/>
      <c r="AO316" s="54"/>
      <c r="AP316" s="54"/>
      <c r="AQ316" s="54"/>
      <c r="AR316" s="54"/>
      <c r="AS316" s="54"/>
      <c r="AT316" s="54"/>
      <c r="AU316" s="54"/>
      <c r="AV316" s="54"/>
      <c r="AW316" s="54"/>
      <c r="AX316" s="59"/>
      <c r="AY316" s="59"/>
      <c r="AZ316" s="59"/>
      <c r="BA316" s="59"/>
      <c r="BB316" s="59">
        <v>7.8E-2</v>
      </c>
      <c r="BC316" s="60">
        <v>4.9000000000000004</v>
      </c>
      <c r="BD316" s="61">
        <v>5.1461E-2</v>
      </c>
      <c r="BE316" s="62" t="s">
        <v>293</v>
      </c>
      <c r="BF316" s="35">
        <f t="shared" si="0"/>
        <v>4.9000000000000004</v>
      </c>
      <c r="BG316" s="35">
        <f t="shared" si="0"/>
        <v>5.1461E-2</v>
      </c>
      <c r="BH316" s="35" t="str">
        <f t="shared" si="662"/>
        <v>Med</v>
      </c>
      <c r="BI316" s="110">
        <f t="shared" si="663"/>
        <v>0</v>
      </c>
      <c r="BJ316" s="83" t="str">
        <f>VLOOKUP($F316,REP_Info!$D$6:$H$250,5,FALSE)</f>
        <v/>
      </c>
      <c r="BK316" s="30">
        <f t="shared" si="664"/>
        <v>14.9161</v>
      </c>
      <c r="BL316" s="30">
        <f t="shared" si="664"/>
        <v>13.931100000000001</v>
      </c>
      <c r="BM316" s="30">
        <f t="shared" si="664"/>
        <v>13.438600000000001</v>
      </c>
      <c r="BN316" s="29">
        <f t="shared" si="664"/>
        <v>13.274433333333334</v>
      </c>
      <c r="BO316" s="85" t="str">
        <f t="shared" si="2"/>
        <v>$$$</v>
      </c>
      <c r="BP316" s="88" t="str">
        <f t="shared" si="665"/>
        <v>$$$</v>
      </c>
      <c r="BQ316" s="88" t="str">
        <f t="shared" si="4"/>
        <v>$$$</v>
      </c>
      <c r="BR316" s="88" t="str">
        <f t="shared" si="5"/>
        <v>$$$</v>
      </c>
      <c r="BS316" s="29" t="e">
        <f t="shared" si="666"/>
        <v>#N/A</v>
      </c>
      <c r="BT316" s="29" t="e">
        <f t="shared" si="666"/>
        <v>#N/A</v>
      </c>
      <c r="BU316" s="29" t="e">
        <f t="shared" si="666"/>
        <v>#N/A</v>
      </c>
      <c r="BV316" s="29" t="e">
        <f t="shared" si="666"/>
        <v>#N/A</v>
      </c>
      <c r="BW316" s="29" t="e">
        <f t="shared" si="666"/>
        <v>#N/A</v>
      </c>
      <c r="BX316" s="29" t="e">
        <f t="shared" si="666"/>
        <v>#N/A</v>
      </c>
      <c r="BY316" s="29" t="e">
        <f t="shared" si="666"/>
        <v>#N/A</v>
      </c>
      <c r="BZ316" s="29" t="e">
        <f t="shared" si="666"/>
        <v>#N/A</v>
      </c>
      <c r="CA316" s="29" t="e">
        <f t="shared" si="666"/>
        <v>#N/A</v>
      </c>
      <c r="CB316" s="29" t="e">
        <f t="shared" si="666"/>
        <v>#N/A</v>
      </c>
      <c r="CC316" s="29" t="e">
        <f t="shared" si="666"/>
        <v>#N/A</v>
      </c>
      <c r="CD316" s="29" t="e">
        <f t="shared" si="666"/>
        <v>#N/A</v>
      </c>
      <c r="CE316" s="6" t="str">
        <f t="shared" si="616"/>
        <v/>
      </c>
      <c r="CF316" s="27" t="e">
        <f>IF(AND(CI316,NOT(AD316)),LOOKUP(CF$5,{0,750,1500},H316:J316),"")</f>
        <v>#N/A</v>
      </c>
      <c r="CG316" s="6" t="str">
        <f t="shared" si="617"/>
        <v/>
      </c>
      <c r="CH316" t="e">
        <f t="shared" si="667"/>
        <v>#N/A</v>
      </c>
      <c r="CI316" t="e">
        <f t="shared" si="668"/>
        <v>#N/A</v>
      </c>
      <c r="CJ316" s="6" t="e">
        <f t="shared" si="11"/>
        <v>#N/A</v>
      </c>
      <c r="CK316" s="6">
        <f t="shared" si="12"/>
        <v>1</v>
      </c>
      <c r="CL316" s="6">
        <f t="shared" si="26"/>
        <v>1</v>
      </c>
      <c r="CM316" s="6">
        <f t="shared" si="13"/>
        <v>1</v>
      </c>
      <c r="CN316" s="6">
        <f t="shared" si="14"/>
        <v>1</v>
      </c>
      <c r="CO316" s="6">
        <f t="shared" si="15"/>
        <v>1</v>
      </c>
      <c r="CP316" s="6">
        <f t="shared" si="16"/>
        <v>1</v>
      </c>
      <c r="CQ316" s="6">
        <f t="shared" si="669"/>
        <v>1</v>
      </c>
      <c r="CR316" s="81" t="str">
        <f t="shared" si="17"/>
        <v/>
      </c>
      <c r="CS316">
        <f t="shared" si="670"/>
        <v>0</v>
      </c>
      <c r="CT316">
        <f t="shared" si="615"/>
        <v>200</v>
      </c>
      <c r="CU316" t="str">
        <f t="shared" si="29"/>
        <v/>
      </c>
      <c r="CV316" s="81">
        <f t="shared" si="671"/>
        <v>200</v>
      </c>
      <c r="CW316" s="81">
        <f>(CV316/25)^1.5*(Calculator!$BU$4/10000)*CW$5</f>
        <v>58.426389194959008</v>
      </c>
      <c r="CX316" t="str">
        <f t="shared" si="672"/>
        <v>$200</v>
      </c>
    </row>
    <row r="317" spans="2:102" x14ac:dyDescent="0.25">
      <c r="B317" s="115" t="s">
        <v>233</v>
      </c>
      <c r="C317" s="13">
        <v>46237.767361111109</v>
      </c>
      <c r="D317">
        <v>34475</v>
      </c>
      <c r="E317" s="54" t="s">
        <v>237</v>
      </c>
      <c r="F317" s="54" t="s">
        <v>730</v>
      </c>
      <c r="G317" s="54" t="s">
        <v>731</v>
      </c>
      <c r="H317" s="55">
        <v>15.6</v>
      </c>
      <c r="I317" s="55">
        <v>14.7</v>
      </c>
      <c r="J317" s="55">
        <v>14.299999999999999</v>
      </c>
      <c r="K317" s="54"/>
      <c r="L317" s="56" t="b">
        <v>0</v>
      </c>
      <c r="M317" s="56" t="b">
        <v>0</v>
      </c>
      <c r="N317" s="54">
        <v>1</v>
      </c>
      <c r="O317" s="54" t="s">
        <v>228</v>
      </c>
      <c r="P317" s="54">
        <v>100</v>
      </c>
      <c r="Q317" s="54">
        <v>12</v>
      </c>
      <c r="R317" s="54">
        <v>200</v>
      </c>
      <c r="S317" s="54" t="s">
        <v>732</v>
      </c>
      <c r="T317" s="54" t="s">
        <v>733</v>
      </c>
      <c r="U317" s="54" t="s">
        <v>734</v>
      </c>
      <c r="V317" s="54" t="s">
        <v>735</v>
      </c>
      <c r="W317" s="54" t="b">
        <v>0</v>
      </c>
      <c r="X317" s="54"/>
      <c r="Y317" s="57" t="s">
        <v>739</v>
      </c>
      <c r="Z317" s="54" t="s">
        <v>737</v>
      </c>
      <c r="AA317" s="54"/>
      <c r="AB317" s="54" t="s">
        <v>738</v>
      </c>
      <c r="AC317" s="56" t="b">
        <v>1</v>
      </c>
      <c r="AD317" s="56" t="b">
        <v>0</v>
      </c>
      <c r="AE317" s="54" t="s">
        <v>303</v>
      </c>
      <c r="AF317" s="58">
        <v>46237</v>
      </c>
      <c r="AG317" s="62" t="s">
        <v>293</v>
      </c>
      <c r="AH317" s="54">
        <v>0</v>
      </c>
      <c r="AI317" s="54"/>
      <c r="AJ317" s="54"/>
      <c r="AK317" s="54"/>
      <c r="AL317" s="54"/>
      <c r="AM317" s="54">
        <v>4.95</v>
      </c>
      <c r="AN317" s="54"/>
      <c r="AO317" s="54"/>
      <c r="AP317" s="54"/>
      <c r="AQ317" s="54"/>
      <c r="AR317" s="54"/>
      <c r="AS317" s="54"/>
      <c r="AT317" s="54"/>
      <c r="AU317" s="54"/>
      <c r="AV317" s="54"/>
      <c r="AW317" s="54"/>
      <c r="AX317" s="59"/>
      <c r="AY317" s="59"/>
      <c r="AZ317" s="59"/>
      <c r="BA317" s="59"/>
      <c r="BB317" s="59">
        <v>7.8E-2</v>
      </c>
      <c r="BC317" s="60">
        <v>4.0599999999999996</v>
      </c>
      <c r="BD317" s="61">
        <v>6.0295000000000001E-2</v>
      </c>
      <c r="BE317" s="62" t="s">
        <v>293</v>
      </c>
      <c r="BF317" s="35">
        <f t="shared" si="0"/>
        <v>4.0600000000000005</v>
      </c>
      <c r="BG317" s="35">
        <f t="shared" si="0"/>
        <v>6.0295000000000001E-2</v>
      </c>
      <c r="BH317" s="35" t="str">
        <f t="shared" si="662"/>
        <v>Med</v>
      </c>
      <c r="BI317" s="110">
        <f t="shared" si="663"/>
        <v>0</v>
      </c>
      <c r="BJ317" s="83" t="str">
        <f>VLOOKUP($F317,REP_Info!$D$6:$H$250,5,FALSE)</f>
        <v/>
      </c>
      <c r="BK317" s="30">
        <f t="shared" si="664"/>
        <v>15.631500000000001</v>
      </c>
      <c r="BL317" s="30">
        <f t="shared" si="664"/>
        <v>14.730499999999999</v>
      </c>
      <c r="BM317" s="30">
        <f t="shared" si="664"/>
        <v>14.280000000000001</v>
      </c>
      <c r="BN317" s="29">
        <f t="shared" si="664"/>
        <v>14.129833333333334</v>
      </c>
      <c r="BO317" s="85" t="str">
        <f t="shared" si="2"/>
        <v>$$$</v>
      </c>
      <c r="BP317" s="88" t="str">
        <f t="shared" si="665"/>
        <v>$$$</v>
      </c>
      <c r="BQ317" s="88" t="str">
        <f t="shared" si="4"/>
        <v>$$$</v>
      </c>
      <c r="BR317" s="88" t="str">
        <f t="shared" si="5"/>
        <v>$$$</v>
      </c>
      <c r="BS317" s="29" t="e">
        <f t="shared" si="666"/>
        <v>#N/A</v>
      </c>
      <c r="BT317" s="29" t="e">
        <f t="shared" si="666"/>
        <v>#N/A</v>
      </c>
      <c r="BU317" s="29" t="e">
        <f t="shared" si="666"/>
        <v>#N/A</v>
      </c>
      <c r="BV317" s="29" t="e">
        <f t="shared" si="666"/>
        <v>#N/A</v>
      </c>
      <c r="BW317" s="29" t="e">
        <f t="shared" si="666"/>
        <v>#N/A</v>
      </c>
      <c r="BX317" s="29" t="e">
        <f t="shared" si="666"/>
        <v>#N/A</v>
      </c>
      <c r="BY317" s="29" t="e">
        <f t="shared" si="666"/>
        <v>#N/A</v>
      </c>
      <c r="BZ317" s="29" t="e">
        <f t="shared" si="666"/>
        <v>#N/A</v>
      </c>
      <c r="CA317" s="29" t="e">
        <f t="shared" si="666"/>
        <v>#N/A</v>
      </c>
      <c r="CB317" s="29" t="e">
        <f t="shared" si="666"/>
        <v>#N/A</v>
      </c>
      <c r="CC317" s="29" t="e">
        <f t="shared" si="666"/>
        <v>#N/A</v>
      </c>
      <c r="CD317" s="29" t="e">
        <f t="shared" si="666"/>
        <v>#N/A</v>
      </c>
      <c r="CE317" s="6" t="str">
        <f t="shared" si="616"/>
        <v/>
      </c>
      <c r="CF317" s="27" t="e">
        <f>IF(AND(CI317,NOT(AD317)),LOOKUP(CF$5,{0,750,1500},H317:J317),"")</f>
        <v>#N/A</v>
      </c>
      <c r="CG317" s="6" t="str">
        <f t="shared" si="617"/>
        <v/>
      </c>
      <c r="CH317" t="e">
        <f t="shared" si="667"/>
        <v>#N/A</v>
      </c>
      <c r="CI317" t="e">
        <f t="shared" si="668"/>
        <v>#N/A</v>
      </c>
      <c r="CJ317" s="6" t="e">
        <f t="shared" si="11"/>
        <v>#N/A</v>
      </c>
      <c r="CK317" s="6">
        <f t="shared" si="12"/>
        <v>1</v>
      </c>
      <c r="CL317" s="6">
        <f t="shared" si="26"/>
        <v>1</v>
      </c>
      <c r="CM317" s="6">
        <f t="shared" si="13"/>
        <v>1</v>
      </c>
      <c r="CN317" s="6">
        <f t="shared" si="14"/>
        <v>1</v>
      </c>
      <c r="CO317" s="6">
        <f t="shared" si="15"/>
        <v>1</v>
      </c>
      <c r="CP317" s="6">
        <f t="shared" si="16"/>
        <v>1</v>
      </c>
      <c r="CQ317" s="6">
        <f t="shared" si="669"/>
        <v>1</v>
      </c>
      <c r="CR317" s="81" t="str">
        <f t="shared" si="17"/>
        <v/>
      </c>
      <c r="CS317">
        <f t="shared" si="670"/>
        <v>0</v>
      </c>
      <c r="CT317">
        <f t="shared" si="615"/>
        <v>200</v>
      </c>
      <c r="CU317" t="str">
        <f t="shared" si="29"/>
        <v/>
      </c>
      <c r="CV317" s="81">
        <f t="shared" si="671"/>
        <v>200</v>
      </c>
      <c r="CW317" s="81">
        <f>(CV317/25)^1.5*(Calculator!$BU$4/10000)*CW$5</f>
        <v>58.426389194959008</v>
      </c>
      <c r="CX317" t="str">
        <f t="shared" si="672"/>
        <v>$200</v>
      </c>
    </row>
    <row r="318" spans="2:102" x14ac:dyDescent="0.25">
      <c r="B318" s="115" t="s">
        <v>233</v>
      </c>
      <c r="C318" s="13">
        <v>46174.569444444445</v>
      </c>
      <c r="D318">
        <v>34489</v>
      </c>
      <c r="E318" s="54" t="s">
        <v>235</v>
      </c>
      <c r="F318" s="54" t="s">
        <v>730</v>
      </c>
      <c r="G318" s="54" t="s">
        <v>740</v>
      </c>
      <c r="H318" s="55">
        <v>15.5</v>
      </c>
      <c r="I318" s="55">
        <v>14.499999999999998</v>
      </c>
      <c r="J318" s="55">
        <v>14.000000000000002</v>
      </c>
      <c r="K318" s="54"/>
      <c r="L318" s="56" t="b">
        <v>0</v>
      </c>
      <c r="M318" s="56" t="b">
        <v>0</v>
      </c>
      <c r="N318" s="54">
        <v>1</v>
      </c>
      <c r="O318" s="54" t="s">
        <v>228</v>
      </c>
      <c r="P318" s="54">
        <v>100</v>
      </c>
      <c r="Q318" s="54">
        <v>24</v>
      </c>
      <c r="R318" s="54">
        <v>200</v>
      </c>
      <c r="S318" s="54" t="s">
        <v>732</v>
      </c>
      <c r="T318" s="54" t="s">
        <v>741</v>
      </c>
      <c r="U318" s="54" t="s">
        <v>734</v>
      </c>
      <c r="V318" s="54" t="s">
        <v>735</v>
      </c>
      <c r="W318" s="54" t="b">
        <v>0</v>
      </c>
      <c r="X318" s="54"/>
      <c r="Y318" s="57" t="s">
        <v>742</v>
      </c>
      <c r="Z318" s="54" t="s">
        <v>737</v>
      </c>
      <c r="AA318" s="54"/>
      <c r="AB318" s="54" t="s">
        <v>738</v>
      </c>
      <c r="AC318" s="56" t="b">
        <v>1</v>
      </c>
      <c r="AD318" s="56" t="b">
        <v>0</v>
      </c>
      <c r="AE318" s="54" t="s">
        <v>303</v>
      </c>
      <c r="AF318" s="58">
        <v>46174</v>
      </c>
      <c r="AG318" s="62" t="s">
        <v>293</v>
      </c>
      <c r="AH318" s="54">
        <v>0</v>
      </c>
      <c r="AI318" s="54"/>
      <c r="AJ318" s="54"/>
      <c r="AK318" s="54"/>
      <c r="AL318" s="54"/>
      <c r="AM318" s="54">
        <v>4.95</v>
      </c>
      <c r="AN318" s="54"/>
      <c r="AO318" s="54"/>
      <c r="AP318" s="54"/>
      <c r="AQ318" s="54"/>
      <c r="AR318" s="54"/>
      <c r="AS318" s="54"/>
      <c r="AT318" s="54"/>
      <c r="AU318" s="54"/>
      <c r="AV318" s="54"/>
      <c r="AW318" s="54"/>
      <c r="AX318" s="59"/>
      <c r="AY318" s="59"/>
      <c r="AZ318" s="59"/>
      <c r="BA318" s="59"/>
      <c r="BB318" s="59">
        <v>8.4000000000000005E-2</v>
      </c>
      <c r="BC318" s="60">
        <v>4.9000000000000004</v>
      </c>
      <c r="BD318" s="61">
        <v>5.1461E-2</v>
      </c>
      <c r="BE318" s="62" t="s">
        <v>293</v>
      </c>
      <c r="BF318" s="35">
        <f t="shared" si="0"/>
        <v>4.9000000000000004</v>
      </c>
      <c r="BG318" s="35">
        <f t="shared" si="0"/>
        <v>5.1461E-2</v>
      </c>
      <c r="BH318" s="35" t="str">
        <f t="shared" ref="BH318:BH319" si="673">IF(ISTEXT(BE318),IF(AND(AV318=0,SUM(AN318:AQ318)=0),IF(AM318&lt;=0,IF(BE318="Y","Low","Flat"),"Med"),"High"),"?")</f>
        <v>Med</v>
      </c>
      <c r="BI318" s="110">
        <f t="shared" ref="BI318:BI319" si="674">IF(ISNUMBER(AH318),0*BI$5*SIN((EDATE($A$3,$Q318)-DATE(YEAR(EDATE($A$3,$Q318)),1,0)-BI$4)*2*PI()/365),"")</f>
        <v>0</v>
      </c>
      <c r="BJ318" s="83" t="str">
        <f>VLOOKUP($F318,REP_Info!$D$6:$H$250,5,FALSE)</f>
        <v/>
      </c>
      <c r="BK318" s="30">
        <f t="shared" ref="BK318:BN319" si="675">IF(BK$7&gt;0,(LOOKUP(BK$7,$AH318:$AL318,$AM318:$AQ318)+IF($AG318="Y",SUMPRODUCT($AX318:$BB318-$AW318:$BA318,BK$7-$AR318:$AV318,N(BK$7&gt;$AR318:$AV318)),BK$7*LOOKUP(BK$7,$AR318:$AV318,$AX318:$BB318))+IF($BE318="Y",$BF318,$BC318)+BK$7*IF($BE318="Y",$BG318,$BD318))*100/BK$7,"")</f>
        <v>15.5161</v>
      </c>
      <c r="BL318" s="30">
        <f t="shared" si="675"/>
        <v>14.5311</v>
      </c>
      <c r="BM318" s="30">
        <f t="shared" si="675"/>
        <v>14.038600000000001</v>
      </c>
      <c r="BN318" s="29">
        <f t="shared" si="675"/>
        <v>13.874433333333334</v>
      </c>
      <c r="BO318" s="85" t="str">
        <f t="shared" si="2"/>
        <v>$$$</v>
      </c>
      <c r="BP318" s="88" t="str">
        <f t="shared" ref="BP318:BP319" si="676">IFERROR(BO318*100/BO$5,"$$$")</f>
        <v>$$$</v>
      </c>
      <c r="BQ318" s="88" t="str">
        <f t="shared" si="4"/>
        <v>$$$</v>
      </c>
      <c r="BR318" s="88" t="str">
        <f t="shared" si="5"/>
        <v>$$$</v>
      </c>
      <c r="BS318" s="29" t="e">
        <f t="shared" ref="BS318:CD319" si="677">IF($CI318,IF(BS$7&gt;0,IF(BS$4&gt;$Q318,$BF318+BS$7*(BS$5+$BG318+$BI318),LOOKUP(BS$7,$AH318:$AL318,$AM318:$AQ318)+IF($AG318="Y",SUMPRODUCT($AX318:$BB318-$AW318:$BA318,BS$7-$AR318:$AV318,N(BS$7&gt;$AR318:$AV318)),BS$7*LOOKUP(BS$7,$AR318:$AV318,$AX318:$BB318))+IF($BE318="Y",$BF318,$BC318)+BS$7*IF($BE318="Y",$BG318,$BD318))*100/BS$7,""),NA())</f>
        <v>#N/A</v>
      </c>
      <c r="BT318" s="29" t="e">
        <f t="shared" si="677"/>
        <v>#N/A</v>
      </c>
      <c r="BU318" s="29" t="e">
        <f t="shared" si="677"/>
        <v>#N/A</v>
      </c>
      <c r="BV318" s="29" t="e">
        <f t="shared" si="677"/>
        <v>#N/A</v>
      </c>
      <c r="BW318" s="29" t="e">
        <f t="shared" si="677"/>
        <v>#N/A</v>
      </c>
      <c r="BX318" s="29" t="e">
        <f t="shared" si="677"/>
        <v>#N/A</v>
      </c>
      <c r="BY318" s="29" t="e">
        <f t="shared" si="677"/>
        <v>#N/A</v>
      </c>
      <c r="BZ318" s="29" t="e">
        <f t="shared" si="677"/>
        <v>#N/A</v>
      </c>
      <c r="CA318" s="29" t="e">
        <f t="shared" si="677"/>
        <v>#N/A</v>
      </c>
      <c r="CB318" s="29" t="e">
        <f t="shared" si="677"/>
        <v>#N/A</v>
      </c>
      <c r="CC318" s="29" t="e">
        <f t="shared" si="677"/>
        <v>#N/A</v>
      </c>
      <c r="CD318" s="29" t="e">
        <f t="shared" si="677"/>
        <v>#N/A</v>
      </c>
      <c r="CE318" s="6" t="str">
        <f t="shared" si="616"/>
        <v/>
      </c>
      <c r="CF318" s="27" t="e">
        <f>IF(AND(CI318,NOT(AD318)),LOOKUP(CF$5,{0,750,1500},H318:J318),"")</f>
        <v>#N/A</v>
      </c>
      <c r="CG318" s="6" t="str">
        <f t="shared" si="617"/>
        <v/>
      </c>
      <c r="CH318" t="e">
        <f t="shared" ref="CH318:CH319" si="678">IF(CI318,IF(ISNUMBER(BO318),BO318,100000)+CV318/10000+IF(ISNUMBER(BJ318),BJ318,2)/10000-P318/100000+ROW()/10000000,"")</f>
        <v>#N/A</v>
      </c>
      <c r="CI318" t="e">
        <f t="shared" ref="CI318:CI319" si="679">PRODUCT(CJ318:CQ318)</f>
        <v>#N/A</v>
      </c>
      <c r="CJ318" s="6" t="e">
        <f t="shared" si="11"/>
        <v>#N/A</v>
      </c>
      <c r="CK318" s="6">
        <f t="shared" si="12"/>
        <v>1</v>
      </c>
      <c r="CL318" s="6">
        <f t="shared" si="26"/>
        <v>1</v>
      </c>
      <c r="CM318" s="6">
        <f t="shared" si="13"/>
        <v>1</v>
      </c>
      <c r="CN318" s="6">
        <f t="shared" si="14"/>
        <v>1</v>
      </c>
      <c r="CO318" s="6">
        <f t="shared" si="15"/>
        <v>0</v>
      </c>
      <c r="CP318" s="6">
        <f t="shared" si="16"/>
        <v>1</v>
      </c>
      <c r="CQ318" s="6">
        <f t="shared" ref="CQ318:CQ319" si="680">IF(CQ$5="Any",1,IF(AND(CQ$5="Med",AV318=0,SUM(AN318:AQ318)=0),1,IF(AND(CQ$5="Low",AV318=0,SUM(AN318:AQ318)=0,AM318=0),1,IF(AND(CQ$5="Flat",AV318=0,SUM(AN318:AQ318)=0,AM318=0,IFERROR(NOT(BE318="Y"),0)),1,0))))</f>
        <v>1</v>
      </c>
      <c r="CR318" s="81" t="str">
        <f t="shared" si="17"/>
        <v/>
      </c>
      <c r="CS318">
        <f t="shared" ref="CS318:CS319" si="681">CS$5*(12/(MIN(12,Q318))-1)</f>
        <v>0</v>
      </c>
      <c r="CT318">
        <f t="shared" si="615"/>
        <v>200</v>
      </c>
      <c r="CU318" t="str">
        <f t="shared" si="29"/>
        <v/>
      </c>
      <c r="CV318" s="81">
        <f t="shared" ref="CV318:CV319" si="682">CT318*IF(CU318="",1,Q318)</f>
        <v>200</v>
      </c>
      <c r="CW318" s="81">
        <f>(CV318/25)^1.5*(Calculator!$BU$4/10000)*CW$5</f>
        <v>58.426389194959008</v>
      </c>
      <c r="CX318" t="str">
        <f t="shared" ref="CX318:CX319" si="683">"$"&amp;IF(LEFT(CU318,1)="r",CT318&amp;"/"&amp;CU318,CV318)</f>
        <v>$200</v>
      </c>
    </row>
    <row r="319" spans="2:102" x14ac:dyDescent="0.25">
      <c r="B319" s="115" t="s">
        <v>233</v>
      </c>
      <c r="C319" s="13">
        <v>46237.767361111109</v>
      </c>
      <c r="D319">
        <v>34491</v>
      </c>
      <c r="E319" s="54" t="s">
        <v>237</v>
      </c>
      <c r="F319" s="54" t="s">
        <v>730</v>
      </c>
      <c r="G319" s="54" t="s">
        <v>740</v>
      </c>
      <c r="H319" s="55">
        <v>16.2</v>
      </c>
      <c r="I319" s="55">
        <v>15.299999999999999</v>
      </c>
      <c r="J319" s="55">
        <v>14.899999999999999</v>
      </c>
      <c r="K319" s="54"/>
      <c r="L319" s="56" t="b">
        <v>0</v>
      </c>
      <c r="M319" s="56" t="b">
        <v>0</v>
      </c>
      <c r="N319" s="54">
        <v>1</v>
      </c>
      <c r="O319" s="54" t="s">
        <v>228</v>
      </c>
      <c r="P319" s="54">
        <v>100</v>
      </c>
      <c r="Q319" s="54">
        <v>24</v>
      </c>
      <c r="R319" s="54">
        <v>200</v>
      </c>
      <c r="S319" s="54" t="s">
        <v>732</v>
      </c>
      <c r="T319" s="54" t="s">
        <v>741</v>
      </c>
      <c r="U319" s="54" t="s">
        <v>734</v>
      </c>
      <c r="V319" s="54" t="s">
        <v>735</v>
      </c>
      <c r="W319" s="54" t="b">
        <v>0</v>
      </c>
      <c r="X319" s="54"/>
      <c r="Y319" s="57" t="s">
        <v>743</v>
      </c>
      <c r="Z319" s="54" t="s">
        <v>737</v>
      </c>
      <c r="AA319" s="54"/>
      <c r="AB319" s="54" t="s">
        <v>738</v>
      </c>
      <c r="AC319" s="56" t="b">
        <v>1</v>
      </c>
      <c r="AD319" s="56" t="b">
        <v>0</v>
      </c>
      <c r="AE319" s="54" t="s">
        <v>303</v>
      </c>
      <c r="AF319" s="58">
        <v>46237</v>
      </c>
      <c r="AG319" s="62" t="s">
        <v>293</v>
      </c>
      <c r="AH319" s="54">
        <v>0</v>
      </c>
      <c r="AI319" s="54"/>
      <c r="AJ319" s="54"/>
      <c r="AK319" s="54"/>
      <c r="AL319" s="54"/>
      <c r="AM319" s="54">
        <v>4.95</v>
      </c>
      <c r="AN319" s="54"/>
      <c r="AO319" s="54"/>
      <c r="AP319" s="54"/>
      <c r="AQ319" s="54"/>
      <c r="AR319" s="54"/>
      <c r="AS319" s="54"/>
      <c r="AT319" s="54"/>
      <c r="AU319" s="54"/>
      <c r="AV319" s="54"/>
      <c r="AW319" s="54"/>
      <c r="AX319" s="59"/>
      <c r="AY319" s="59"/>
      <c r="AZ319" s="59"/>
      <c r="BA319" s="59"/>
      <c r="BB319" s="59">
        <v>8.4000000000000005E-2</v>
      </c>
      <c r="BC319" s="60">
        <v>4.0599999999999996</v>
      </c>
      <c r="BD319" s="61">
        <v>6.0295000000000001E-2</v>
      </c>
      <c r="BE319" s="62" t="s">
        <v>293</v>
      </c>
      <c r="BF319" s="35">
        <f t="shared" si="0"/>
        <v>4.0600000000000005</v>
      </c>
      <c r="BG319" s="35">
        <f t="shared" si="0"/>
        <v>6.0295000000000001E-2</v>
      </c>
      <c r="BH319" s="35" t="str">
        <f t="shared" si="673"/>
        <v>Med</v>
      </c>
      <c r="BI319" s="110">
        <f t="shared" si="674"/>
        <v>0</v>
      </c>
      <c r="BJ319" s="83" t="str">
        <f>VLOOKUP($F319,REP_Info!$D$6:$H$250,5,FALSE)</f>
        <v/>
      </c>
      <c r="BK319" s="30">
        <f t="shared" si="675"/>
        <v>16.2315</v>
      </c>
      <c r="BL319" s="30">
        <f t="shared" si="675"/>
        <v>15.330500000000001</v>
      </c>
      <c r="BM319" s="30">
        <f t="shared" si="675"/>
        <v>14.880000000000003</v>
      </c>
      <c r="BN319" s="29">
        <f t="shared" si="675"/>
        <v>14.729833333333335</v>
      </c>
      <c r="BO319" s="85" t="str">
        <f t="shared" si="2"/>
        <v>$$$</v>
      </c>
      <c r="BP319" s="88" t="str">
        <f t="shared" si="676"/>
        <v>$$$</v>
      </c>
      <c r="BQ319" s="88" t="str">
        <f t="shared" si="4"/>
        <v>$$$</v>
      </c>
      <c r="BR319" s="88" t="str">
        <f t="shared" si="5"/>
        <v>$$$</v>
      </c>
      <c r="BS319" s="29" t="e">
        <f t="shared" si="677"/>
        <v>#N/A</v>
      </c>
      <c r="BT319" s="29" t="e">
        <f t="shared" si="677"/>
        <v>#N/A</v>
      </c>
      <c r="BU319" s="29" t="e">
        <f t="shared" si="677"/>
        <v>#N/A</v>
      </c>
      <c r="BV319" s="29" t="e">
        <f t="shared" si="677"/>
        <v>#N/A</v>
      </c>
      <c r="BW319" s="29" t="e">
        <f t="shared" si="677"/>
        <v>#N/A</v>
      </c>
      <c r="BX319" s="29" t="e">
        <f t="shared" si="677"/>
        <v>#N/A</v>
      </c>
      <c r="BY319" s="29" t="e">
        <f t="shared" si="677"/>
        <v>#N/A</v>
      </c>
      <c r="BZ319" s="29" t="e">
        <f t="shared" si="677"/>
        <v>#N/A</v>
      </c>
      <c r="CA319" s="29" t="e">
        <f t="shared" si="677"/>
        <v>#N/A</v>
      </c>
      <c r="CB319" s="29" t="e">
        <f t="shared" si="677"/>
        <v>#N/A</v>
      </c>
      <c r="CC319" s="29" t="e">
        <f t="shared" si="677"/>
        <v>#N/A</v>
      </c>
      <c r="CD319" s="29" t="e">
        <f t="shared" si="677"/>
        <v>#N/A</v>
      </c>
      <c r="CE319" s="6" t="str">
        <f t="shared" si="616"/>
        <v/>
      </c>
      <c r="CF319" s="27" t="e">
        <f>IF(AND(CI319,NOT(AD319)),LOOKUP(CF$5,{0,750,1500},H319:J319),"")</f>
        <v>#N/A</v>
      </c>
      <c r="CG319" s="6" t="str">
        <f t="shared" si="617"/>
        <v/>
      </c>
      <c r="CH319" t="e">
        <f t="shared" si="678"/>
        <v>#N/A</v>
      </c>
      <c r="CI319" t="e">
        <f t="shared" si="679"/>
        <v>#N/A</v>
      </c>
      <c r="CJ319" s="6" t="e">
        <f t="shared" si="11"/>
        <v>#N/A</v>
      </c>
      <c r="CK319" s="6">
        <f t="shared" si="12"/>
        <v>1</v>
      </c>
      <c r="CL319" s="6">
        <f t="shared" si="26"/>
        <v>1</v>
      </c>
      <c r="CM319" s="6">
        <f t="shared" si="13"/>
        <v>1</v>
      </c>
      <c r="CN319" s="6">
        <f t="shared" si="14"/>
        <v>1</v>
      </c>
      <c r="CO319" s="6">
        <f t="shared" si="15"/>
        <v>0</v>
      </c>
      <c r="CP319" s="6">
        <f t="shared" si="16"/>
        <v>1</v>
      </c>
      <c r="CQ319" s="6">
        <f t="shared" si="680"/>
        <v>1</v>
      </c>
      <c r="CR319" s="81" t="str">
        <f t="shared" si="17"/>
        <v/>
      </c>
      <c r="CS319">
        <f t="shared" si="681"/>
        <v>0</v>
      </c>
      <c r="CT319">
        <f t="shared" si="615"/>
        <v>200</v>
      </c>
      <c r="CU319" t="str">
        <f t="shared" si="29"/>
        <v/>
      </c>
      <c r="CV319" s="81">
        <f t="shared" si="682"/>
        <v>200</v>
      </c>
      <c r="CW319" s="81">
        <f>(CV319/25)^1.5*(Calculator!$BU$4/10000)*CW$5</f>
        <v>58.426389194959008</v>
      </c>
      <c r="CX319" t="str">
        <f t="shared" si="683"/>
        <v>$200</v>
      </c>
    </row>
    <row r="320" spans="2:102" x14ac:dyDescent="0.25">
      <c r="B320" s="115" t="s">
        <v>233</v>
      </c>
      <c r="C320" s="13">
        <v>46174.569444444445</v>
      </c>
      <c r="D320">
        <v>34702</v>
      </c>
      <c r="E320" s="54" t="s">
        <v>235</v>
      </c>
      <c r="F320" s="54" t="s">
        <v>730</v>
      </c>
      <c r="G320" s="54" t="s">
        <v>744</v>
      </c>
      <c r="H320" s="55">
        <v>12.9</v>
      </c>
      <c r="I320" s="55">
        <v>12.9</v>
      </c>
      <c r="J320" s="55">
        <v>12.9</v>
      </c>
      <c r="K320" s="54"/>
      <c r="L320" s="56" t="b">
        <v>0</v>
      </c>
      <c r="M320" s="56" t="b">
        <v>0</v>
      </c>
      <c r="N320" s="54">
        <v>1</v>
      </c>
      <c r="O320" s="54" t="s">
        <v>228</v>
      </c>
      <c r="P320" s="54">
        <v>100</v>
      </c>
      <c r="Q320" s="54">
        <v>12</v>
      </c>
      <c r="R320" s="54">
        <v>200</v>
      </c>
      <c r="S320" s="54" t="s">
        <v>732</v>
      </c>
      <c r="T320" s="54" t="s">
        <v>745</v>
      </c>
      <c r="U320" s="54" t="s">
        <v>734</v>
      </c>
      <c r="V320" s="54" t="s">
        <v>735</v>
      </c>
      <c r="W320" s="54" t="b">
        <v>0</v>
      </c>
      <c r="X320" s="54"/>
      <c r="Y320" s="57" t="s">
        <v>746</v>
      </c>
      <c r="Z320" s="54" t="s">
        <v>737</v>
      </c>
      <c r="AA320" s="54"/>
      <c r="AB320" s="54" t="s">
        <v>738</v>
      </c>
      <c r="AC320" s="56" t="b">
        <v>1</v>
      </c>
      <c r="AD320" s="56" t="b">
        <v>0</v>
      </c>
      <c r="AE320" s="54" t="s">
        <v>303</v>
      </c>
      <c r="AF320" s="58">
        <v>46174</v>
      </c>
      <c r="AG320" s="62" t="s">
        <v>293</v>
      </c>
      <c r="AH320" s="54">
        <v>0</v>
      </c>
      <c r="AI320" s="54"/>
      <c r="AJ320" s="54"/>
      <c r="AK320" s="54"/>
      <c r="AL320" s="54"/>
      <c r="AM320" s="54">
        <v>-5.05</v>
      </c>
      <c r="AN320" s="54"/>
      <c r="AO320" s="54"/>
      <c r="AP320" s="54"/>
      <c r="AQ320" s="54"/>
      <c r="AR320" s="54"/>
      <c r="AS320" s="54"/>
      <c r="AT320" s="54"/>
      <c r="AU320" s="54"/>
      <c r="AV320" s="54"/>
      <c r="AW320" s="54"/>
      <c r="AX320" s="59"/>
      <c r="AY320" s="59"/>
      <c r="AZ320" s="59"/>
      <c r="BA320" s="59"/>
      <c r="BB320" s="59">
        <v>7.8E-2</v>
      </c>
      <c r="BC320" s="60">
        <v>4.9000000000000004</v>
      </c>
      <c r="BD320" s="61">
        <v>5.1461E-2</v>
      </c>
      <c r="BE320" s="62" t="s">
        <v>293</v>
      </c>
      <c r="BF320" s="35">
        <f t="shared" si="0"/>
        <v>4.9000000000000004</v>
      </c>
      <c r="BG320" s="35">
        <f t="shared" si="0"/>
        <v>5.1461E-2</v>
      </c>
      <c r="BH320" s="35" t="str">
        <f t="shared" ref="BH320:BH323" si="684">IF(ISTEXT(BE320),IF(AND(AV320=0,SUM(AN320:AQ320)=0),IF(AM320&lt;=0,IF(BE320="Y","Low","Flat"),"Med"),"High"),"?")</f>
        <v>Low</v>
      </c>
      <c r="BI320" s="110">
        <f t="shared" ref="BI320:BI323" si="685">IF(ISNUMBER(AH320),0*BI$5*SIN((EDATE($A$3,$Q320)-DATE(YEAR(EDATE($A$3,$Q320)),1,0)-BI$4)*2*PI()/365),"")</f>
        <v>0</v>
      </c>
      <c r="BJ320" s="83" t="str">
        <f>VLOOKUP($F320,REP_Info!$D$6:$H$250,5,FALSE)</f>
        <v/>
      </c>
      <c r="BK320" s="30">
        <f t="shared" ref="BK320:BN323" si="686">IF(BK$7&gt;0,(LOOKUP(BK$7,$AH320:$AL320,$AM320:$AQ320)+IF($AG320="Y",SUMPRODUCT($AX320:$BB320-$AW320:$BA320,BK$7-$AR320:$AV320,N(BK$7&gt;$AR320:$AV320)),BK$7*LOOKUP(BK$7,$AR320:$AV320,$AX320:$BB320))+IF($BE320="Y",$BF320,$BC320)+BK$7*IF($BE320="Y",$BG320,$BD320))*100/BK$7,"")</f>
        <v>12.9161</v>
      </c>
      <c r="BL320" s="30">
        <f t="shared" si="686"/>
        <v>12.931100000000001</v>
      </c>
      <c r="BM320" s="30">
        <f t="shared" si="686"/>
        <v>12.938600000000001</v>
      </c>
      <c r="BN320" s="29">
        <f t="shared" si="686"/>
        <v>12.9411</v>
      </c>
      <c r="BO320" s="85" t="str">
        <f t="shared" si="2"/>
        <v>$$$</v>
      </c>
      <c r="BP320" s="88" t="str">
        <f t="shared" ref="BP320:BP323" si="687">IFERROR(BO320*100/BO$5,"$$$")</f>
        <v>$$$</v>
      </c>
      <c r="BQ320" s="88" t="str">
        <f t="shared" si="4"/>
        <v>$$$</v>
      </c>
      <c r="BR320" s="88" t="str">
        <f t="shared" si="5"/>
        <v>$$$</v>
      </c>
      <c r="BS320" s="29" t="e">
        <f t="shared" ref="BS320:CD323" si="688">IF($CI320,IF(BS$7&gt;0,IF(BS$4&gt;$Q320,$BF320+BS$7*(BS$5+$BG320+$BI320),LOOKUP(BS$7,$AH320:$AL320,$AM320:$AQ320)+IF($AG320="Y",SUMPRODUCT($AX320:$BB320-$AW320:$BA320,BS$7-$AR320:$AV320,N(BS$7&gt;$AR320:$AV320)),BS$7*LOOKUP(BS$7,$AR320:$AV320,$AX320:$BB320))+IF($BE320="Y",$BF320,$BC320)+BS$7*IF($BE320="Y",$BG320,$BD320))*100/BS$7,""),NA())</f>
        <v>#N/A</v>
      </c>
      <c r="BT320" s="29" t="e">
        <f t="shared" si="688"/>
        <v>#N/A</v>
      </c>
      <c r="BU320" s="29" t="e">
        <f t="shared" si="688"/>
        <v>#N/A</v>
      </c>
      <c r="BV320" s="29" t="e">
        <f t="shared" si="688"/>
        <v>#N/A</v>
      </c>
      <c r="BW320" s="29" t="e">
        <f t="shared" si="688"/>
        <v>#N/A</v>
      </c>
      <c r="BX320" s="29" t="e">
        <f t="shared" si="688"/>
        <v>#N/A</v>
      </c>
      <c r="BY320" s="29" t="e">
        <f t="shared" si="688"/>
        <v>#N/A</v>
      </c>
      <c r="BZ320" s="29" t="e">
        <f t="shared" si="688"/>
        <v>#N/A</v>
      </c>
      <c r="CA320" s="29" t="e">
        <f t="shared" si="688"/>
        <v>#N/A</v>
      </c>
      <c r="CB320" s="29" t="e">
        <f t="shared" si="688"/>
        <v>#N/A</v>
      </c>
      <c r="CC320" s="29" t="e">
        <f t="shared" si="688"/>
        <v>#N/A</v>
      </c>
      <c r="CD320" s="29" t="e">
        <f t="shared" si="688"/>
        <v>#N/A</v>
      </c>
      <c r="CE320" s="6" t="str">
        <f t="shared" si="616"/>
        <v/>
      </c>
      <c r="CF320" s="27" t="e">
        <f>IF(AND(CI320,NOT(AD320)),LOOKUP(CF$5,{0,750,1500},H320:J320),"")</f>
        <v>#N/A</v>
      </c>
      <c r="CG320" s="6" t="str">
        <f t="shared" si="617"/>
        <v/>
      </c>
      <c r="CH320" t="e">
        <f t="shared" ref="CH320:CH323" si="689">IF(CI320,IF(ISNUMBER(BO320),BO320,100000)+CV320/10000+IF(ISNUMBER(BJ320),BJ320,2)/10000-P320/100000+ROW()/10000000,"")</f>
        <v>#N/A</v>
      </c>
      <c r="CI320" t="e">
        <f t="shared" ref="CI320:CI323" si="690">PRODUCT(CJ320:CQ320)</f>
        <v>#N/A</v>
      </c>
      <c r="CJ320" s="6" t="e">
        <f t="shared" si="11"/>
        <v>#N/A</v>
      </c>
      <c r="CK320" s="6">
        <f t="shared" si="12"/>
        <v>1</v>
      </c>
      <c r="CL320" s="6">
        <f t="shared" si="26"/>
        <v>1</v>
      </c>
      <c r="CM320" s="6">
        <f t="shared" si="13"/>
        <v>1</v>
      </c>
      <c r="CN320" s="6">
        <f t="shared" si="14"/>
        <v>1</v>
      </c>
      <c r="CO320" s="6">
        <f t="shared" si="15"/>
        <v>1</v>
      </c>
      <c r="CP320" s="6">
        <f t="shared" si="16"/>
        <v>1</v>
      </c>
      <c r="CQ320" s="6">
        <f t="shared" ref="CQ320:CQ323" si="691">IF(CQ$5="Any",1,IF(AND(CQ$5="Med",AV320=0,SUM(AN320:AQ320)=0),1,IF(AND(CQ$5="Low",AV320=0,SUM(AN320:AQ320)=0,AM320=0),1,IF(AND(CQ$5="Flat",AV320=0,SUM(AN320:AQ320)=0,AM320=0,IFERROR(NOT(BE320="Y"),0)),1,0))))</f>
        <v>1</v>
      </c>
      <c r="CR320" s="81" t="str">
        <f t="shared" si="17"/>
        <v/>
      </c>
      <c r="CS320">
        <f t="shared" ref="CS320:CS323" si="692">CS$5*(12/(MIN(12,Q320))-1)</f>
        <v>0</v>
      </c>
      <c r="CT320">
        <f t="shared" si="615"/>
        <v>200</v>
      </c>
      <c r="CU320" t="str">
        <f t="shared" si="29"/>
        <v/>
      </c>
      <c r="CV320" s="81">
        <f t="shared" ref="CV320:CV323" si="693">CT320*IF(CU320="",1,Q320)</f>
        <v>200</v>
      </c>
      <c r="CW320" s="81">
        <f>(CV320/25)^1.5*(Calculator!$BU$4/10000)*CW$5</f>
        <v>58.426389194959008</v>
      </c>
      <c r="CX320" t="str">
        <f t="shared" ref="CX320:CX323" si="694">"$"&amp;IF(LEFT(CU320,1)="r",CT320&amp;"/"&amp;CU320,CV320)</f>
        <v>$200</v>
      </c>
    </row>
    <row r="321" spans="2:102" x14ac:dyDescent="0.25">
      <c r="B321" s="115" t="s">
        <v>233</v>
      </c>
      <c r="C321" s="13">
        <v>46237.767361111109</v>
      </c>
      <c r="D321">
        <v>34706</v>
      </c>
      <c r="E321" s="54" t="s">
        <v>237</v>
      </c>
      <c r="F321" s="54" t="s">
        <v>730</v>
      </c>
      <c r="G321" s="54" t="s">
        <v>744</v>
      </c>
      <c r="H321" s="55">
        <v>13.600000000000001</v>
      </c>
      <c r="I321" s="55">
        <v>13.700000000000001</v>
      </c>
      <c r="J321" s="55">
        <v>13.8</v>
      </c>
      <c r="K321" s="54"/>
      <c r="L321" s="56" t="b">
        <v>0</v>
      </c>
      <c r="M321" s="56" t="b">
        <v>0</v>
      </c>
      <c r="N321" s="54">
        <v>1</v>
      </c>
      <c r="O321" s="54" t="s">
        <v>228</v>
      </c>
      <c r="P321" s="54">
        <v>100</v>
      </c>
      <c r="Q321" s="54">
        <v>12</v>
      </c>
      <c r="R321" s="54">
        <v>200</v>
      </c>
      <c r="S321" s="54" t="s">
        <v>732</v>
      </c>
      <c r="T321" s="54" t="s">
        <v>745</v>
      </c>
      <c r="U321" s="54" t="s">
        <v>734</v>
      </c>
      <c r="V321" s="54" t="s">
        <v>735</v>
      </c>
      <c r="W321" s="54" t="b">
        <v>0</v>
      </c>
      <c r="X321" s="54"/>
      <c r="Y321" s="57" t="s">
        <v>747</v>
      </c>
      <c r="Z321" s="54" t="s">
        <v>737</v>
      </c>
      <c r="AA321" s="54"/>
      <c r="AB321" s="54" t="s">
        <v>738</v>
      </c>
      <c r="AC321" s="56" t="b">
        <v>1</v>
      </c>
      <c r="AD321" s="56" t="b">
        <v>0</v>
      </c>
      <c r="AE321" s="54" t="s">
        <v>303</v>
      </c>
      <c r="AF321" s="58">
        <v>46237</v>
      </c>
      <c r="AG321" s="62" t="s">
        <v>293</v>
      </c>
      <c r="AH321" s="54">
        <v>0</v>
      </c>
      <c r="AI321" s="54"/>
      <c r="AJ321" s="54"/>
      <c r="AK321" s="54"/>
      <c r="AL321" s="54"/>
      <c r="AM321" s="54">
        <v>-5.05</v>
      </c>
      <c r="AN321" s="54"/>
      <c r="AO321" s="54"/>
      <c r="AP321" s="54"/>
      <c r="AQ321" s="54"/>
      <c r="AR321" s="54"/>
      <c r="AS321" s="54"/>
      <c r="AT321" s="54"/>
      <c r="AU321" s="54"/>
      <c r="AV321" s="54"/>
      <c r="AW321" s="54"/>
      <c r="AX321" s="59"/>
      <c r="AY321" s="59"/>
      <c r="AZ321" s="59"/>
      <c r="BA321" s="59"/>
      <c r="BB321" s="59">
        <v>7.8E-2</v>
      </c>
      <c r="BC321" s="60">
        <v>4.0599999999999996</v>
      </c>
      <c r="BD321" s="61">
        <v>6.0295000000000001E-2</v>
      </c>
      <c r="BE321" s="62" t="s">
        <v>293</v>
      </c>
      <c r="BF321" s="35">
        <f t="shared" si="0"/>
        <v>4.0600000000000005</v>
      </c>
      <c r="BG321" s="35">
        <f t="shared" si="0"/>
        <v>6.0295000000000001E-2</v>
      </c>
      <c r="BH321" s="35" t="str">
        <f t="shared" si="684"/>
        <v>Low</v>
      </c>
      <c r="BI321" s="110">
        <f t="shared" si="685"/>
        <v>0</v>
      </c>
      <c r="BJ321" s="83" t="str">
        <f>VLOOKUP($F321,REP_Info!$D$6:$H$250,5,FALSE)</f>
        <v/>
      </c>
      <c r="BK321" s="30">
        <f t="shared" si="686"/>
        <v>13.631500000000001</v>
      </c>
      <c r="BL321" s="30">
        <f t="shared" si="686"/>
        <v>13.730499999999999</v>
      </c>
      <c r="BM321" s="30">
        <f t="shared" si="686"/>
        <v>13.780000000000001</v>
      </c>
      <c r="BN321" s="29">
        <f t="shared" si="686"/>
        <v>13.7965</v>
      </c>
      <c r="BO321" s="85" t="str">
        <f t="shared" si="2"/>
        <v>$$$</v>
      </c>
      <c r="BP321" s="88" t="str">
        <f t="shared" si="687"/>
        <v>$$$</v>
      </c>
      <c r="BQ321" s="88" t="str">
        <f t="shared" si="4"/>
        <v>$$$</v>
      </c>
      <c r="BR321" s="88" t="str">
        <f t="shared" si="5"/>
        <v>$$$</v>
      </c>
      <c r="BS321" s="29" t="e">
        <f t="shared" si="688"/>
        <v>#N/A</v>
      </c>
      <c r="BT321" s="29" t="e">
        <f t="shared" si="688"/>
        <v>#N/A</v>
      </c>
      <c r="BU321" s="29" t="e">
        <f t="shared" si="688"/>
        <v>#N/A</v>
      </c>
      <c r="BV321" s="29" t="e">
        <f t="shared" si="688"/>
        <v>#N/A</v>
      </c>
      <c r="BW321" s="29" t="e">
        <f t="shared" si="688"/>
        <v>#N/A</v>
      </c>
      <c r="BX321" s="29" t="e">
        <f t="shared" si="688"/>
        <v>#N/A</v>
      </c>
      <c r="BY321" s="29" t="e">
        <f t="shared" si="688"/>
        <v>#N/A</v>
      </c>
      <c r="BZ321" s="29" t="e">
        <f t="shared" si="688"/>
        <v>#N/A</v>
      </c>
      <c r="CA321" s="29" t="e">
        <f t="shared" si="688"/>
        <v>#N/A</v>
      </c>
      <c r="CB321" s="29" t="e">
        <f t="shared" si="688"/>
        <v>#N/A</v>
      </c>
      <c r="CC321" s="29" t="e">
        <f t="shared" si="688"/>
        <v>#N/A</v>
      </c>
      <c r="CD321" s="29" t="e">
        <f t="shared" si="688"/>
        <v>#N/A</v>
      </c>
      <c r="CE321" s="6" t="str">
        <f t="shared" si="616"/>
        <v/>
      </c>
      <c r="CF321" s="27" t="e">
        <f>IF(AND(CI321,NOT(AD321)),LOOKUP(CF$5,{0,750,1500},H321:J321),"")</f>
        <v>#N/A</v>
      </c>
      <c r="CG321" s="6" t="str">
        <f t="shared" si="617"/>
        <v/>
      </c>
      <c r="CH321" t="e">
        <f t="shared" si="689"/>
        <v>#N/A</v>
      </c>
      <c r="CI321" t="e">
        <f t="shared" si="690"/>
        <v>#N/A</v>
      </c>
      <c r="CJ321" s="6" t="e">
        <f t="shared" si="11"/>
        <v>#N/A</v>
      </c>
      <c r="CK321" s="6">
        <f t="shared" si="12"/>
        <v>1</v>
      </c>
      <c r="CL321" s="6">
        <f t="shared" si="26"/>
        <v>1</v>
      </c>
      <c r="CM321" s="6">
        <f t="shared" si="13"/>
        <v>1</v>
      </c>
      <c r="CN321" s="6">
        <f t="shared" si="14"/>
        <v>1</v>
      </c>
      <c r="CO321" s="6">
        <f t="shared" si="15"/>
        <v>1</v>
      </c>
      <c r="CP321" s="6">
        <f t="shared" si="16"/>
        <v>1</v>
      </c>
      <c r="CQ321" s="6">
        <f t="shared" si="691"/>
        <v>1</v>
      </c>
      <c r="CR321" s="81" t="str">
        <f t="shared" si="17"/>
        <v/>
      </c>
      <c r="CS321">
        <f t="shared" si="692"/>
        <v>0</v>
      </c>
      <c r="CT321">
        <f t="shared" si="615"/>
        <v>200</v>
      </c>
      <c r="CU321" t="str">
        <f t="shared" si="29"/>
        <v/>
      </c>
      <c r="CV321" s="81">
        <f t="shared" si="693"/>
        <v>200</v>
      </c>
      <c r="CW321" s="81">
        <f>(CV321/25)^1.5*(Calculator!$BU$4/10000)*CW$5</f>
        <v>58.426389194959008</v>
      </c>
      <c r="CX321" t="str">
        <f t="shared" si="694"/>
        <v>$200</v>
      </c>
    </row>
    <row r="322" spans="2:102" x14ac:dyDescent="0.25">
      <c r="B322" s="115" t="s">
        <v>233</v>
      </c>
      <c r="C322" s="13">
        <v>46174.569444444445</v>
      </c>
      <c r="D322">
        <v>36003</v>
      </c>
      <c r="E322" s="54" t="s">
        <v>235</v>
      </c>
      <c r="F322" s="54" t="s">
        <v>730</v>
      </c>
      <c r="G322" s="54" t="s">
        <v>748</v>
      </c>
      <c r="H322" s="55">
        <v>13.5</v>
      </c>
      <c r="I322" s="55">
        <v>13.5</v>
      </c>
      <c r="J322" s="55">
        <v>13.5</v>
      </c>
      <c r="K322" s="54"/>
      <c r="L322" s="56" t="b">
        <v>0</v>
      </c>
      <c r="M322" s="56" t="b">
        <v>0</v>
      </c>
      <c r="N322" s="54">
        <v>1</v>
      </c>
      <c r="O322" s="54" t="s">
        <v>228</v>
      </c>
      <c r="P322" s="54">
        <v>100</v>
      </c>
      <c r="Q322" s="54">
        <v>24</v>
      </c>
      <c r="R322" s="54">
        <v>200</v>
      </c>
      <c r="S322" s="54" t="s">
        <v>732</v>
      </c>
      <c r="T322" s="54" t="s">
        <v>745</v>
      </c>
      <c r="U322" s="54" t="s">
        <v>734</v>
      </c>
      <c r="V322" s="54" t="s">
        <v>735</v>
      </c>
      <c r="W322" s="54" t="b">
        <v>0</v>
      </c>
      <c r="X322" s="54"/>
      <c r="Y322" s="57" t="s">
        <v>749</v>
      </c>
      <c r="Z322" s="54" t="s">
        <v>732</v>
      </c>
      <c r="AA322" s="54"/>
      <c r="AB322" s="54" t="s">
        <v>738</v>
      </c>
      <c r="AC322" s="56" t="b">
        <v>1</v>
      </c>
      <c r="AD322" s="56" t="b">
        <v>0</v>
      </c>
      <c r="AE322" s="54" t="s">
        <v>303</v>
      </c>
      <c r="AF322" s="58">
        <v>46174</v>
      </c>
      <c r="AG322" s="62" t="s">
        <v>293</v>
      </c>
      <c r="AH322" s="54">
        <v>0</v>
      </c>
      <c r="AI322" s="54"/>
      <c r="AJ322" s="54"/>
      <c r="AK322" s="54"/>
      <c r="AL322" s="54"/>
      <c r="AM322" s="54">
        <v>-5.05</v>
      </c>
      <c r="AN322" s="54"/>
      <c r="AO322" s="54"/>
      <c r="AP322" s="54"/>
      <c r="AQ322" s="54"/>
      <c r="AR322" s="54"/>
      <c r="AS322" s="54"/>
      <c r="AT322" s="54"/>
      <c r="AU322" s="54"/>
      <c r="AV322" s="54"/>
      <c r="AW322" s="54"/>
      <c r="AX322" s="59"/>
      <c r="AY322" s="59"/>
      <c r="AZ322" s="59"/>
      <c r="BA322" s="59"/>
      <c r="BB322" s="59">
        <v>8.4000000000000005E-2</v>
      </c>
      <c r="BC322" s="60">
        <v>4.9000000000000004</v>
      </c>
      <c r="BD322" s="61">
        <v>5.1461E-2</v>
      </c>
      <c r="BE322" s="62" t="s">
        <v>293</v>
      </c>
      <c r="BF322" s="35">
        <f t="shared" si="0"/>
        <v>4.9000000000000004</v>
      </c>
      <c r="BG322" s="35">
        <f t="shared" si="0"/>
        <v>5.1461E-2</v>
      </c>
      <c r="BH322" s="35" t="str">
        <f t="shared" si="684"/>
        <v>Low</v>
      </c>
      <c r="BI322" s="110">
        <f t="shared" si="685"/>
        <v>0</v>
      </c>
      <c r="BJ322" s="83" t="str">
        <f>VLOOKUP($F322,REP_Info!$D$6:$H$250,5,FALSE)</f>
        <v/>
      </c>
      <c r="BK322" s="30">
        <f t="shared" si="686"/>
        <v>13.5161</v>
      </c>
      <c r="BL322" s="30">
        <f t="shared" si="686"/>
        <v>13.5311</v>
      </c>
      <c r="BM322" s="30">
        <f t="shared" si="686"/>
        <v>13.538600000000001</v>
      </c>
      <c r="BN322" s="29">
        <f t="shared" si="686"/>
        <v>13.5411</v>
      </c>
      <c r="BO322" s="85" t="str">
        <f t="shared" si="2"/>
        <v>$$$</v>
      </c>
      <c r="BP322" s="88" t="str">
        <f t="shared" si="687"/>
        <v>$$$</v>
      </c>
      <c r="BQ322" s="88" t="str">
        <f t="shared" si="4"/>
        <v>$$$</v>
      </c>
      <c r="BR322" s="88" t="str">
        <f t="shared" si="5"/>
        <v>$$$</v>
      </c>
      <c r="BS322" s="29" t="e">
        <f t="shared" si="688"/>
        <v>#N/A</v>
      </c>
      <c r="BT322" s="29" t="e">
        <f t="shared" si="688"/>
        <v>#N/A</v>
      </c>
      <c r="BU322" s="29" t="e">
        <f t="shared" si="688"/>
        <v>#N/A</v>
      </c>
      <c r="BV322" s="29" t="e">
        <f t="shared" si="688"/>
        <v>#N/A</v>
      </c>
      <c r="BW322" s="29" t="e">
        <f t="shared" si="688"/>
        <v>#N/A</v>
      </c>
      <c r="BX322" s="29" t="e">
        <f t="shared" si="688"/>
        <v>#N/A</v>
      </c>
      <c r="BY322" s="29" t="e">
        <f t="shared" si="688"/>
        <v>#N/A</v>
      </c>
      <c r="BZ322" s="29" t="e">
        <f t="shared" si="688"/>
        <v>#N/A</v>
      </c>
      <c r="CA322" s="29" t="e">
        <f t="shared" si="688"/>
        <v>#N/A</v>
      </c>
      <c r="CB322" s="29" t="e">
        <f t="shared" si="688"/>
        <v>#N/A</v>
      </c>
      <c r="CC322" s="29" t="e">
        <f t="shared" si="688"/>
        <v>#N/A</v>
      </c>
      <c r="CD322" s="29" t="e">
        <f t="shared" si="688"/>
        <v>#N/A</v>
      </c>
      <c r="CE322" s="6" t="str">
        <f t="shared" si="616"/>
        <v/>
      </c>
      <c r="CF322" s="27" t="e">
        <f>IF(AND(CI322,NOT(AD322)),LOOKUP(CF$5,{0,750,1500},H322:J322),"")</f>
        <v>#N/A</v>
      </c>
      <c r="CG322" s="6" t="str">
        <f t="shared" si="617"/>
        <v/>
      </c>
      <c r="CH322" t="e">
        <f t="shared" si="689"/>
        <v>#N/A</v>
      </c>
      <c r="CI322" t="e">
        <f t="shared" si="690"/>
        <v>#N/A</v>
      </c>
      <c r="CJ322" s="6" t="e">
        <f t="shared" si="11"/>
        <v>#N/A</v>
      </c>
      <c r="CK322" s="6">
        <f t="shared" si="12"/>
        <v>1</v>
      </c>
      <c r="CL322" s="6">
        <f t="shared" si="26"/>
        <v>1</v>
      </c>
      <c r="CM322" s="6">
        <f t="shared" si="13"/>
        <v>1</v>
      </c>
      <c r="CN322" s="6">
        <f t="shared" si="14"/>
        <v>1</v>
      </c>
      <c r="CO322" s="6">
        <f t="shared" si="15"/>
        <v>0</v>
      </c>
      <c r="CP322" s="6">
        <f t="shared" si="16"/>
        <v>1</v>
      </c>
      <c r="CQ322" s="6">
        <f t="shared" si="691"/>
        <v>1</v>
      </c>
      <c r="CR322" s="81" t="str">
        <f t="shared" si="17"/>
        <v/>
      </c>
      <c r="CS322">
        <f t="shared" si="692"/>
        <v>0</v>
      </c>
      <c r="CT322">
        <f t="shared" si="615"/>
        <v>200</v>
      </c>
      <c r="CU322" t="str">
        <f t="shared" si="29"/>
        <v/>
      </c>
      <c r="CV322" s="81">
        <f t="shared" si="693"/>
        <v>200</v>
      </c>
      <c r="CW322" s="81">
        <f>(CV322/25)^1.5*(Calculator!$BU$4/10000)*CW$5</f>
        <v>58.426389194959008</v>
      </c>
      <c r="CX322" t="str">
        <f t="shared" si="694"/>
        <v>$200</v>
      </c>
    </row>
    <row r="323" spans="2:102" x14ac:dyDescent="0.25">
      <c r="B323" s="115" t="s">
        <v>233</v>
      </c>
      <c r="C323" s="13">
        <v>46237.767361111109</v>
      </c>
      <c r="D323">
        <v>36007</v>
      </c>
      <c r="E323" s="54" t="s">
        <v>237</v>
      </c>
      <c r="F323" s="54" t="s">
        <v>730</v>
      </c>
      <c r="G323" s="54" t="s">
        <v>748</v>
      </c>
      <c r="H323" s="55">
        <v>14.2</v>
      </c>
      <c r="I323" s="55">
        <v>14.299999999999999</v>
      </c>
      <c r="J323" s="55">
        <v>14.399999999999999</v>
      </c>
      <c r="K323" s="54"/>
      <c r="L323" s="56" t="b">
        <v>0</v>
      </c>
      <c r="M323" s="56" t="b">
        <v>0</v>
      </c>
      <c r="N323" s="54">
        <v>1</v>
      </c>
      <c r="O323" s="54" t="s">
        <v>228</v>
      </c>
      <c r="P323" s="54">
        <v>100</v>
      </c>
      <c r="Q323" s="54">
        <v>24</v>
      </c>
      <c r="R323" s="54">
        <v>200</v>
      </c>
      <c r="S323" s="54" t="s">
        <v>732</v>
      </c>
      <c r="T323" s="54" t="s">
        <v>745</v>
      </c>
      <c r="U323" s="54" t="s">
        <v>734</v>
      </c>
      <c r="V323" s="54" t="s">
        <v>735</v>
      </c>
      <c r="W323" s="54" t="b">
        <v>0</v>
      </c>
      <c r="X323" s="54"/>
      <c r="Y323" s="57" t="s">
        <v>750</v>
      </c>
      <c r="Z323" s="54" t="s">
        <v>732</v>
      </c>
      <c r="AA323" s="54"/>
      <c r="AB323" s="54" t="s">
        <v>738</v>
      </c>
      <c r="AC323" s="56" t="b">
        <v>1</v>
      </c>
      <c r="AD323" s="56" t="b">
        <v>0</v>
      </c>
      <c r="AE323" s="54" t="s">
        <v>303</v>
      </c>
      <c r="AF323" s="58">
        <v>46237</v>
      </c>
      <c r="AG323" s="62" t="s">
        <v>293</v>
      </c>
      <c r="AH323" s="54">
        <v>0</v>
      </c>
      <c r="AI323" s="54"/>
      <c r="AJ323" s="54"/>
      <c r="AK323" s="54"/>
      <c r="AL323" s="54"/>
      <c r="AM323" s="54">
        <v>-5.05</v>
      </c>
      <c r="AN323" s="54"/>
      <c r="AO323" s="54"/>
      <c r="AP323" s="54"/>
      <c r="AQ323" s="54"/>
      <c r="AR323" s="54"/>
      <c r="AS323" s="54"/>
      <c r="AT323" s="54"/>
      <c r="AU323" s="54"/>
      <c r="AV323" s="54"/>
      <c r="AW323" s="54"/>
      <c r="AX323" s="59"/>
      <c r="AY323" s="59"/>
      <c r="AZ323" s="59"/>
      <c r="BA323" s="59"/>
      <c r="BB323" s="59">
        <v>8.4000000000000005E-2</v>
      </c>
      <c r="BC323" s="60">
        <v>4.0599999999999996</v>
      </c>
      <c r="BD323" s="61">
        <v>6.0295000000000001E-2</v>
      </c>
      <c r="BE323" s="62" t="s">
        <v>293</v>
      </c>
      <c r="BF323" s="35">
        <f t="shared" si="0"/>
        <v>4.0600000000000005</v>
      </c>
      <c r="BG323" s="35">
        <f t="shared" si="0"/>
        <v>6.0295000000000001E-2</v>
      </c>
      <c r="BH323" s="35" t="str">
        <f t="shared" si="684"/>
        <v>Low</v>
      </c>
      <c r="BI323" s="110">
        <f t="shared" si="685"/>
        <v>0</v>
      </c>
      <c r="BJ323" s="83" t="str">
        <f>VLOOKUP($F323,REP_Info!$D$6:$H$250,5,FALSE)</f>
        <v/>
      </c>
      <c r="BK323" s="30">
        <f t="shared" si="686"/>
        <v>14.2315</v>
      </c>
      <c r="BL323" s="30">
        <f t="shared" si="686"/>
        <v>14.330500000000001</v>
      </c>
      <c r="BM323" s="30">
        <f t="shared" si="686"/>
        <v>14.380000000000003</v>
      </c>
      <c r="BN323" s="29">
        <f t="shared" si="686"/>
        <v>14.3965</v>
      </c>
      <c r="BO323" s="85" t="str">
        <f t="shared" si="2"/>
        <v>$$$</v>
      </c>
      <c r="BP323" s="88" t="str">
        <f t="shared" si="687"/>
        <v>$$$</v>
      </c>
      <c r="BQ323" s="88" t="str">
        <f t="shared" si="4"/>
        <v>$$$</v>
      </c>
      <c r="BR323" s="88" t="str">
        <f t="shared" si="5"/>
        <v>$$$</v>
      </c>
      <c r="BS323" s="29" t="e">
        <f t="shared" si="688"/>
        <v>#N/A</v>
      </c>
      <c r="BT323" s="29" t="e">
        <f t="shared" si="688"/>
        <v>#N/A</v>
      </c>
      <c r="BU323" s="29" t="e">
        <f t="shared" si="688"/>
        <v>#N/A</v>
      </c>
      <c r="BV323" s="29" t="e">
        <f t="shared" si="688"/>
        <v>#N/A</v>
      </c>
      <c r="BW323" s="29" t="e">
        <f t="shared" si="688"/>
        <v>#N/A</v>
      </c>
      <c r="BX323" s="29" t="e">
        <f t="shared" si="688"/>
        <v>#N/A</v>
      </c>
      <c r="BY323" s="29" t="e">
        <f t="shared" si="688"/>
        <v>#N/A</v>
      </c>
      <c r="BZ323" s="29" t="e">
        <f t="shared" si="688"/>
        <v>#N/A</v>
      </c>
      <c r="CA323" s="29" t="e">
        <f t="shared" si="688"/>
        <v>#N/A</v>
      </c>
      <c r="CB323" s="29" t="e">
        <f t="shared" si="688"/>
        <v>#N/A</v>
      </c>
      <c r="CC323" s="29" t="e">
        <f t="shared" si="688"/>
        <v>#N/A</v>
      </c>
      <c r="CD323" s="29" t="e">
        <f t="shared" si="688"/>
        <v>#N/A</v>
      </c>
      <c r="CE323" s="6" t="str">
        <f t="shared" si="616"/>
        <v/>
      </c>
      <c r="CF323" s="27" t="e">
        <f>IF(AND(CI323,NOT(AD323)),LOOKUP(CF$5,{0,750,1500},H323:J323),"")</f>
        <v>#N/A</v>
      </c>
      <c r="CG323" s="6" t="str">
        <f t="shared" si="617"/>
        <v/>
      </c>
      <c r="CH323" t="e">
        <f t="shared" si="689"/>
        <v>#N/A</v>
      </c>
      <c r="CI323" t="e">
        <f t="shared" si="690"/>
        <v>#N/A</v>
      </c>
      <c r="CJ323" s="6" t="e">
        <f t="shared" si="11"/>
        <v>#N/A</v>
      </c>
      <c r="CK323" s="6">
        <f t="shared" si="12"/>
        <v>1</v>
      </c>
      <c r="CL323" s="6">
        <f t="shared" si="26"/>
        <v>1</v>
      </c>
      <c r="CM323" s="6">
        <f t="shared" si="13"/>
        <v>1</v>
      </c>
      <c r="CN323" s="6">
        <f t="shared" si="14"/>
        <v>1</v>
      </c>
      <c r="CO323" s="6">
        <f t="shared" si="15"/>
        <v>0</v>
      </c>
      <c r="CP323" s="6">
        <f t="shared" si="16"/>
        <v>1</v>
      </c>
      <c r="CQ323" s="6">
        <f t="shared" si="691"/>
        <v>1</v>
      </c>
      <c r="CR323" s="81" t="str">
        <f t="shared" si="17"/>
        <v/>
      </c>
      <c r="CS323">
        <f t="shared" si="692"/>
        <v>0</v>
      </c>
      <c r="CT323">
        <f t="shared" si="615"/>
        <v>200</v>
      </c>
      <c r="CU323" t="str">
        <f t="shared" si="29"/>
        <v/>
      </c>
      <c r="CV323" s="81">
        <f t="shared" si="693"/>
        <v>200</v>
      </c>
      <c r="CW323" s="81">
        <f>(CV323/25)^1.5*(Calculator!$BU$4/10000)*CW$5</f>
        <v>58.426389194959008</v>
      </c>
      <c r="CX323" t="str">
        <f t="shared" si="694"/>
        <v>$200</v>
      </c>
    </row>
    <row r="324" spans="2:102" x14ac:dyDescent="0.25">
      <c r="B324" s="115" t="s">
        <v>233</v>
      </c>
      <c r="C324" s="13">
        <v>46218.518055555556</v>
      </c>
      <c r="D324">
        <v>29511</v>
      </c>
      <c r="E324" s="54" t="s">
        <v>237</v>
      </c>
      <c r="F324" s="54" t="s">
        <v>751</v>
      </c>
      <c r="G324" s="54" t="s">
        <v>752</v>
      </c>
      <c r="H324" s="55">
        <v>18</v>
      </c>
      <c r="I324" s="55">
        <v>14.499999999999998</v>
      </c>
      <c r="J324" s="55">
        <v>15.7</v>
      </c>
      <c r="K324" s="54" t="s">
        <v>753</v>
      </c>
      <c r="L324" s="56" t="b">
        <v>0</v>
      </c>
      <c r="M324" s="56" t="b">
        <v>0</v>
      </c>
      <c r="N324" s="54">
        <v>1</v>
      </c>
      <c r="O324" s="54" t="s">
        <v>228</v>
      </c>
      <c r="P324" s="54">
        <v>3</v>
      </c>
      <c r="Q324" s="54">
        <v>36</v>
      </c>
      <c r="R324" s="54" t="s">
        <v>754</v>
      </c>
      <c r="S324" s="54" t="s">
        <v>755</v>
      </c>
      <c r="T324" s="54" t="s">
        <v>756</v>
      </c>
      <c r="U324" s="54" t="s">
        <v>757</v>
      </c>
      <c r="V324" s="54" t="s">
        <v>758</v>
      </c>
      <c r="W324" s="54" t="b">
        <v>0</v>
      </c>
      <c r="X324" s="54"/>
      <c r="Y324" s="57" t="s">
        <v>759</v>
      </c>
      <c r="Z324" s="54" t="s">
        <v>760</v>
      </c>
      <c r="AA324" s="54"/>
      <c r="AB324" s="54" t="s">
        <v>761</v>
      </c>
      <c r="AC324" s="56" t="b">
        <v>0</v>
      </c>
      <c r="AD324" s="56" t="b">
        <v>1</v>
      </c>
      <c r="AE324" s="54" t="s">
        <v>303</v>
      </c>
      <c r="AF324" s="58">
        <v>46218</v>
      </c>
      <c r="AG324" s="62" t="s">
        <v>293</v>
      </c>
      <c r="AH324" s="54">
        <v>0</v>
      </c>
      <c r="AI324" s="54">
        <v>1000</v>
      </c>
      <c r="AJ324" s="54"/>
      <c r="AK324" s="54"/>
      <c r="AL324" s="54"/>
      <c r="AM324" s="54">
        <v>4.95</v>
      </c>
      <c r="AN324" s="54">
        <v>-25.05</v>
      </c>
      <c r="AO324" s="54"/>
      <c r="AP324" s="54"/>
      <c r="AQ324" s="54"/>
      <c r="AR324" s="54"/>
      <c r="AS324" s="54"/>
      <c r="AT324" s="54"/>
      <c r="AU324" s="54"/>
      <c r="AV324" s="54"/>
      <c r="AW324" s="54"/>
      <c r="AX324" s="59"/>
      <c r="AY324" s="59"/>
      <c r="AZ324" s="59"/>
      <c r="BA324" s="59"/>
      <c r="BB324" s="59">
        <v>0.17</v>
      </c>
      <c r="BC324" s="60"/>
      <c r="BD324" s="61"/>
      <c r="BE324" s="62" t="s">
        <v>762</v>
      </c>
      <c r="BF324" s="35">
        <f t="shared" ref="BF324:BG325" si="695">IF($E324=$E$4,BF$4,IF($E324=$E$5,BF$5,""))</f>
        <v>4.0600000000000005</v>
      </c>
      <c r="BG324" s="35">
        <f t="shared" si="695"/>
        <v>6.0295000000000001E-2</v>
      </c>
      <c r="BH324" s="35" t="str">
        <f t="shared" ref="BH324:BH325" si="696">IF(ISTEXT(BE324),IF(AND(AV324=0,SUM(AN324:AQ324)=0),IF(AM324&lt;=0,IF(BE324="Y","Low","Flat"),"Med"),"High"),"?")</f>
        <v>High</v>
      </c>
      <c r="BI324" s="110">
        <f t="shared" ref="BI324:BI325" si="697">IF(ISNUMBER(AH324),0*BI$5*SIN((EDATE($A$3,$Q324)-DATE(YEAR(EDATE($A$3,$Q324)),1,0)-BI$4)*2*PI()/365),"")</f>
        <v>0</v>
      </c>
      <c r="BJ324" s="83">
        <f>VLOOKUP($F324,REP_Info!$D$6:$H$250,5,FALSE)</f>
        <v>1.272</v>
      </c>
      <c r="BK324" s="30">
        <f t="shared" ref="BK324:BN325" si="698">IF(BK$7&gt;0,(LOOKUP(BK$7,$AH324:$AL324,$AM324:$AQ324)+IF($AG324="Y",SUMPRODUCT($AX324:$BB324-$AW324:$BA324,BK$7-$AR324:$AV324,N(BK$7&gt;$AR324:$AV324)),BK$7*LOOKUP(BK$7,$AR324:$AV324,$AX324:$BB324))+IF($BE324="Y",$BF324,$BC324)+BK$7*IF($BE324="Y",$BG324,$BD324))*100/BK$7,"")</f>
        <v>17.989999999999998</v>
      </c>
      <c r="BL324" s="30">
        <f t="shared" si="698"/>
        <v>14.494999999999997</v>
      </c>
      <c r="BM324" s="30">
        <f t="shared" si="698"/>
        <v>15.7475</v>
      </c>
      <c r="BN324" s="29">
        <f t="shared" si="698"/>
        <v>16.165000000000003</v>
      </c>
      <c r="BO324" s="85" t="str">
        <f t="shared" ref="BO324:BO325" si="699">IFERROR(SUMPRODUCT($BS$7:$CD$7,$BS324:$CD324)/100,"$$$")</f>
        <v>$$$</v>
      </c>
      <c r="BP324" s="88" t="str">
        <f t="shared" ref="BP324:BP325" si="700">IFERROR(BO324*100/BO$5,"$$$")</f>
        <v>$$$</v>
      </c>
      <c r="BQ324" s="88" t="str">
        <f t="shared" ref="BQ324:BQ325" si="701">IFERROR(SUMPRODUCT($BS$7:$CD$7,$BS324:$CD324,--($BS$4:$CD$4&lt;=$Q324))/SUMPRODUCT(--($BS$4:$CD$4&lt;=$Q324),$BS$7:$CD$7),"$$$")</f>
        <v>$$$</v>
      </c>
      <c r="BR324" s="88" t="str">
        <f t="shared" ref="BR324:BR325" si="702">IFERROR($BQ324-$BF324*100*SUMPRODUCT(--($BS$4:$CD$4&lt;=$Q324))/SUMPRODUCT(--($BS$4:$CD$4&lt;=$Q324),$BS$7:$CD$7)-$BG324*100,"$$$")</f>
        <v>$$$</v>
      </c>
      <c r="BS324" s="29" t="e">
        <f t="shared" ref="BS324:CD325" si="703">IF($CI324,IF(BS$7&gt;0,IF(BS$4&gt;$Q324,$BF324+BS$7*(BS$5+$BG324+$BI324),LOOKUP(BS$7,$AH324:$AL324,$AM324:$AQ324)+IF($AG324="Y",SUMPRODUCT($AX324:$BB324-$AW324:$BA324,BS$7-$AR324:$AV324,N(BS$7&gt;$AR324:$AV324)),BS$7*LOOKUP(BS$7,$AR324:$AV324,$AX324:$BB324))+IF($BE324="Y",$BF324,$BC324)+BS$7*IF($BE324="Y",$BG324,$BD324))*100/BS$7,""),NA())</f>
        <v>#N/A</v>
      </c>
      <c r="BT324" s="29" t="e">
        <f t="shared" si="703"/>
        <v>#N/A</v>
      </c>
      <c r="BU324" s="29" t="e">
        <f t="shared" si="703"/>
        <v>#N/A</v>
      </c>
      <c r="BV324" s="29" t="e">
        <f t="shared" si="703"/>
        <v>#N/A</v>
      </c>
      <c r="BW324" s="29" t="e">
        <f t="shared" si="703"/>
        <v>#N/A</v>
      </c>
      <c r="BX324" s="29" t="e">
        <f t="shared" si="703"/>
        <v>#N/A</v>
      </c>
      <c r="BY324" s="29" t="e">
        <f t="shared" si="703"/>
        <v>#N/A</v>
      </c>
      <c r="BZ324" s="29" t="e">
        <f t="shared" si="703"/>
        <v>#N/A</v>
      </c>
      <c r="CA324" s="29" t="e">
        <f t="shared" si="703"/>
        <v>#N/A</v>
      </c>
      <c r="CB324" s="29" t="e">
        <f t="shared" si="703"/>
        <v>#N/A</v>
      </c>
      <c r="CC324" s="29" t="e">
        <f t="shared" si="703"/>
        <v>#N/A</v>
      </c>
      <c r="CD324" s="29" t="e">
        <f t="shared" si="703"/>
        <v>#N/A</v>
      </c>
      <c r="CE324" s="6" t="str">
        <f t="shared" si="616"/>
        <v/>
      </c>
      <c r="CF324" s="27" t="e">
        <f>IF(AND(CI324,NOT(AD324)),LOOKUP(CF$5,{0,750,1500},H324:J324),"")</f>
        <v>#N/A</v>
      </c>
      <c r="CG324" s="6" t="str">
        <f t="shared" si="617"/>
        <v/>
      </c>
      <c r="CH324" t="e">
        <f t="shared" ref="CH324:CH325" si="704">IF(CI324,IF(ISNUMBER(BO324),BO324,100000)+CV324/10000+IF(ISNUMBER(BJ324),BJ324,2)/10000-P324/100000+ROW()/10000000,"")</f>
        <v>#N/A</v>
      </c>
      <c r="CI324" t="e">
        <f t="shared" ref="CI324:CI325" si="705">PRODUCT(CJ324:CQ324)</f>
        <v>#N/A</v>
      </c>
      <c r="CJ324" s="6" t="e">
        <f t="shared" ref="CJ324:CJ325" si="706">IF($E324=CJ$5,1,0)</f>
        <v>#N/A</v>
      </c>
      <c r="CK324" s="6">
        <f t="shared" ref="CK324:CK325" si="707">IF(CK$5="[Any]",1,IF($F324=CK$5,1,0))</f>
        <v>1</v>
      </c>
      <c r="CL324" s="6">
        <f t="shared" si="26"/>
        <v>1</v>
      </c>
      <c r="CM324" s="6">
        <f t="shared" ref="CM324:CM325" si="708">IF($O324="Fixed",1,0)</f>
        <v>1</v>
      </c>
      <c r="CN324" s="6">
        <f t="shared" ref="CN324:CN325" si="709">IF($Q324&gt;=CN$5,1,0)</f>
        <v>1</v>
      </c>
      <c r="CO324" s="6">
        <f t="shared" ref="CO324:CO325" si="710">IF($Q324&lt;=CO$5,1,0)</f>
        <v>0</v>
      </c>
      <c r="CP324" s="6">
        <f t="shared" ref="CP324:CP325" si="711">IF($P324&gt;=CP$5,1,0)</f>
        <v>1</v>
      </c>
      <c r="CQ324" s="6">
        <f t="shared" ref="CQ324:CQ325" si="712">IF(CQ$5="Any",1,IF(AND(CQ$5="Med",AV324=0,SUM(AN324:AQ324)=0),1,IF(AND(CQ$5="Low",AV324=0,SUM(AN324:AQ324)=0,AM324=0),1,IF(AND(CQ$5="Flat",AV324=0,SUM(AN324:AQ324)=0,AM324=0,IFERROR(NOT(BE324="Y"),0)),1,0))))</f>
        <v>1</v>
      </c>
      <c r="CR324" s="81" t="str">
        <f t="shared" ref="CR324:CR325" si="713">IF(ISNUMBER($CH324),$CH324+$CS324+$CW324,"")</f>
        <v/>
      </c>
      <c r="CS324">
        <f t="shared" ref="CS324:CS325" si="714">CS$5*(12/(MIN(12,Q324))-1)</f>
        <v>0</v>
      </c>
      <c r="CT324">
        <f t="shared" si="615"/>
        <v>20</v>
      </c>
      <c r="CU324" t="str">
        <f t="shared" si="29"/>
        <v>rm</v>
      </c>
      <c r="CV324" s="81">
        <f t="shared" ref="CV324:CV325" si="715">CT324*IF(CU324="",1,Q324)</f>
        <v>720</v>
      </c>
      <c r="CW324" s="81">
        <f>(CV324/25)^1.5*(Calculator!$BU$4/10000)*CW$5</f>
        <v>399.08260508152779</v>
      </c>
      <c r="CX324" t="str">
        <f t="shared" ref="CX324:CX325" si="716">"$"&amp;IF(LEFT(CU324,1)="r",CT324&amp;"/"&amp;CU324,CV324)</f>
        <v>$20/rm</v>
      </c>
    </row>
    <row r="325" spans="2:102" x14ac:dyDescent="0.25">
      <c r="B325" s="115" t="s">
        <v>233</v>
      </c>
      <c r="C325" s="13">
        <v>46218.518055555556</v>
      </c>
      <c r="D325">
        <v>29512</v>
      </c>
      <c r="E325" s="54" t="s">
        <v>235</v>
      </c>
      <c r="F325" s="54" t="s">
        <v>751</v>
      </c>
      <c r="G325" s="54" t="s">
        <v>752</v>
      </c>
      <c r="H325" s="55">
        <v>16.400000000000002</v>
      </c>
      <c r="I325" s="55">
        <v>12.9</v>
      </c>
      <c r="J325" s="55">
        <v>14.099999999999998</v>
      </c>
      <c r="K325" s="54" t="s">
        <v>753</v>
      </c>
      <c r="L325" s="56" t="b">
        <v>0</v>
      </c>
      <c r="M325" s="56" t="b">
        <v>0</v>
      </c>
      <c r="N325" s="54">
        <v>1</v>
      </c>
      <c r="O325" s="54" t="s">
        <v>228</v>
      </c>
      <c r="P325" s="54">
        <v>3</v>
      </c>
      <c r="Q325" s="54">
        <v>36</v>
      </c>
      <c r="R325" s="54" t="s">
        <v>754</v>
      </c>
      <c r="S325" s="54" t="s">
        <v>755</v>
      </c>
      <c r="T325" s="54" t="s">
        <v>756</v>
      </c>
      <c r="U325" s="54" t="s">
        <v>763</v>
      </c>
      <c r="V325" s="54" t="s">
        <v>764</v>
      </c>
      <c r="W325" s="54" t="b">
        <v>0</v>
      </c>
      <c r="X325" s="54"/>
      <c r="Y325" s="57" t="s">
        <v>765</v>
      </c>
      <c r="Z325" s="54" t="s">
        <v>760</v>
      </c>
      <c r="AA325" s="54"/>
      <c r="AB325" s="54" t="s">
        <v>761</v>
      </c>
      <c r="AC325" s="56" t="b">
        <v>0</v>
      </c>
      <c r="AD325" s="56" t="b">
        <v>1</v>
      </c>
      <c r="AE325" s="54" t="s">
        <v>303</v>
      </c>
      <c r="AF325" s="58">
        <v>46218</v>
      </c>
      <c r="AG325" s="62" t="s">
        <v>293</v>
      </c>
      <c r="AH325" s="54">
        <v>0</v>
      </c>
      <c r="AI325" s="54">
        <v>1000</v>
      </c>
      <c r="AJ325" s="54"/>
      <c r="AK325" s="54"/>
      <c r="AL325" s="54"/>
      <c r="AM325" s="54">
        <v>4.95</v>
      </c>
      <c r="AN325" s="54">
        <v>-25.05</v>
      </c>
      <c r="AO325" s="54"/>
      <c r="AP325" s="54"/>
      <c r="AQ325" s="54"/>
      <c r="AR325" s="54"/>
      <c r="AS325" s="54"/>
      <c r="AT325" s="54"/>
      <c r="AU325" s="54"/>
      <c r="AV325" s="54"/>
      <c r="AW325" s="54"/>
      <c r="AX325" s="59"/>
      <c r="AY325" s="59"/>
      <c r="AZ325" s="59"/>
      <c r="BA325" s="59"/>
      <c r="BB325" s="59">
        <v>0.154</v>
      </c>
      <c r="BC325" s="60"/>
      <c r="BD325" s="61"/>
      <c r="BE325" s="62" t="s">
        <v>762</v>
      </c>
      <c r="BF325" s="35">
        <f t="shared" si="695"/>
        <v>4.9000000000000004</v>
      </c>
      <c r="BG325" s="35">
        <f t="shared" si="695"/>
        <v>5.1461E-2</v>
      </c>
      <c r="BH325" s="35" t="str">
        <f t="shared" si="696"/>
        <v>High</v>
      </c>
      <c r="BI325" s="110">
        <f t="shared" si="697"/>
        <v>0</v>
      </c>
      <c r="BJ325" s="83">
        <f>VLOOKUP($F325,REP_Info!$D$6:$H$250,5,FALSE)</f>
        <v>1.272</v>
      </c>
      <c r="BK325" s="30">
        <f t="shared" si="698"/>
        <v>16.39</v>
      </c>
      <c r="BL325" s="30">
        <f t="shared" si="698"/>
        <v>12.894999999999998</v>
      </c>
      <c r="BM325" s="30">
        <f t="shared" si="698"/>
        <v>14.147500000000001</v>
      </c>
      <c r="BN325" s="29">
        <f t="shared" si="698"/>
        <v>14.565</v>
      </c>
      <c r="BO325" s="85" t="str">
        <f t="shared" si="699"/>
        <v>$$$</v>
      </c>
      <c r="BP325" s="88" t="str">
        <f t="shared" si="700"/>
        <v>$$$</v>
      </c>
      <c r="BQ325" s="88" t="str">
        <f t="shared" si="701"/>
        <v>$$$</v>
      </c>
      <c r="BR325" s="88" t="str">
        <f t="shared" si="702"/>
        <v>$$$</v>
      </c>
      <c r="BS325" s="29" t="e">
        <f t="shared" si="703"/>
        <v>#N/A</v>
      </c>
      <c r="BT325" s="29" t="e">
        <f t="shared" si="703"/>
        <v>#N/A</v>
      </c>
      <c r="BU325" s="29" t="e">
        <f t="shared" si="703"/>
        <v>#N/A</v>
      </c>
      <c r="BV325" s="29" t="e">
        <f t="shared" si="703"/>
        <v>#N/A</v>
      </c>
      <c r="BW325" s="29" t="e">
        <f t="shared" si="703"/>
        <v>#N/A</v>
      </c>
      <c r="BX325" s="29" t="e">
        <f t="shared" si="703"/>
        <v>#N/A</v>
      </c>
      <c r="BY325" s="29" t="e">
        <f t="shared" si="703"/>
        <v>#N/A</v>
      </c>
      <c r="BZ325" s="29" t="e">
        <f t="shared" si="703"/>
        <v>#N/A</v>
      </c>
      <c r="CA325" s="29" t="e">
        <f t="shared" si="703"/>
        <v>#N/A</v>
      </c>
      <c r="CB325" s="29" t="e">
        <f t="shared" si="703"/>
        <v>#N/A</v>
      </c>
      <c r="CC325" s="29" t="e">
        <f t="shared" si="703"/>
        <v>#N/A</v>
      </c>
      <c r="CD325" s="29" t="e">
        <f t="shared" si="703"/>
        <v>#N/A</v>
      </c>
      <c r="CE325" s="6" t="str">
        <f t="shared" si="616"/>
        <v/>
      </c>
      <c r="CF325" s="27" t="e">
        <f>IF(AND(CI325,NOT(AD325)),LOOKUP(CF$5,{0,750,1500},H325:J325),"")</f>
        <v>#N/A</v>
      </c>
      <c r="CG325" s="6" t="str">
        <f t="shared" si="617"/>
        <v/>
      </c>
      <c r="CH325" t="e">
        <f t="shared" si="704"/>
        <v>#N/A</v>
      </c>
      <c r="CI325" t="e">
        <f t="shared" si="705"/>
        <v>#N/A</v>
      </c>
      <c r="CJ325" s="6" t="e">
        <f t="shared" si="706"/>
        <v>#N/A</v>
      </c>
      <c r="CK325" s="6">
        <f t="shared" si="707"/>
        <v>1</v>
      </c>
      <c r="CL325" s="6">
        <f t="shared" si="26"/>
        <v>1</v>
      </c>
      <c r="CM325" s="6">
        <f t="shared" si="708"/>
        <v>1</v>
      </c>
      <c r="CN325" s="6">
        <f t="shared" si="709"/>
        <v>1</v>
      </c>
      <c r="CO325" s="6">
        <f t="shared" si="710"/>
        <v>0</v>
      </c>
      <c r="CP325" s="6">
        <f t="shared" si="711"/>
        <v>1</v>
      </c>
      <c r="CQ325" s="6">
        <f t="shared" si="712"/>
        <v>1</v>
      </c>
      <c r="CR325" s="81" t="str">
        <f t="shared" si="713"/>
        <v/>
      </c>
      <c r="CS325">
        <f t="shared" si="714"/>
        <v>0</v>
      </c>
      <c r="CT325">
        <f t="shared" si="615"/>
        <v>20</v>
      </c>
      <c r="CU325" t="str">
        <f t="shared" si="29"/>
        <v>rm</v>
      </c>
      <c r="CV325" s="81">
        <f t="shared" si="715"/>
        <v>720</v>
      </c>
      <c r="CW325" s="81">
        <f>(CV325/25)^1.5*(Calculator!$BU$4/10000)*CW$5</f>
        <v>399.08260508152779</v>
      </c>
      <c r="CX325" t="str">
        <f t="shared" si="716"/>
        <v>$20/rm</v>
      </c>
    </row>
    <row r="326" spans="2:102" x14ac:dyDescent="0.25">
      <c r="B326" s="115" t="s">
        <v>233</v>
      </c>
      <c r="C326" s="13">
        <v>46218.518055555556</v>
      </c>
      <c r="D326">
        <v>31481</v>
      </c>
      <c r="E326" s="54" t="s">
        <v>237</v>
      </c>
      <c r="F326" s="54" t="s">
        <v>751</v>
      </c>
      <c r="G326" s="54" t="s">
        <v>766</v>
      </c>
      <c r="H326" s="55">
        <v>16.3</v>
      </c>
      <c r="I326" s="55">
        <v>15.8</v>
      </c>
      <c r="J326" s="55">
        <v>15.5</v>
      </c>
      <c r="K326" s="54"/>
      <c r="L326" s="56" t="b">
        <v>0</v>
      </c>
      <c r="M326" s="56" t="b">
        <v>0</v>
      </c>
      <c r="N326" s="54">
        <v>1</v>
      </c>
      <c r="O326" s="54" t="s">
        <v>228</v>
      </c>
      <c r="P326" s="54">
        <v>3</v>
      </c>
      <c r="Q326" s="54">
        <v>36</v>
      </c>
      <c r="R326" s="54" t="s">
        <v>754</v>
      </c>
      <c r="S326" s="54" t="s">
        <v>755</v>
      </c>
      <c r="T326" s="54" t="s">
        <v>756</v>
      </c>
      <c r="U326" s="54" t="s">
        <v>767</v>
      </c>
      <c r="V326" s="54" t="s">
        <v>768</v>
      </c>
      <c r="W326" s="54" t="b">
        <v>0</v>
      </c>
      <c r="X326" s="54"/>
      <c r="Y326" s="57" t="s">
        <v>769</v>
      </c>
      <c r="Z326" s="54" t="s">
        <v>760</v>
      </c>
      <c r="AA326" s="54"/>
      <c r="AB326" s="54" t="s">
        <v>761</v>
      </c>
      <c r="AC326" s="56" t="b">
        <v>0</v>
      </c>
      <c r="AD326" s="56" t="b">
        <v>0</v>
      </c>
      <c r="AE326" s="54" t="s">
        <v>303</v>
      </c>
      <c r="AF326" s="58">
        <v>46218</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0.153</v>
      </c>
      <c r="BC326" s="60"/>
      <c r="BD326" s="61"/>
      <c r="BE326" s="62" t="s">
        <v>762</v>
      </c>
      <c r="BF326" s="35">
        <f t="shared" si="0"/>
        <v>4.0600000000000005</v>
      </c>
      <c r="BG326" s="35">
        <f t="shared" si="0"/>
        <v>6.0295000000000001E-2</v>
      </c>
      <c r="BH326" s="35" t="str">
        <f t="shared" ref="BH326:BH332" si="717">IF(ISTEXT(BE326),IF(AND(AV326=0,SUM(AN326:AQ326)=0),IF(AM326&lt;=0,IF(BE326="Y","Low","Flat"),"Med"),"High"),"?")</f>
        <v>Med</v>
      </c>
      <c r="BI326" s="110">
        <f t="shared" ref="BI326:BI332" si="718">IF(ISNUMBER(AH326),0*BI$5*SIN((EDATE($A$3,$Q326)-DATE(YEAR(EDATE($A$3,$Q326)),1,0)-BI$4)*2*PI()/365),"")</f>
        <v>0</v>
      </c>
      <c r="BJ326" s="83">
        <f>VLOOKUP($F326,REP_Info!$D$6:$H$250,5,FALSE)</f>
        <v>1.272</v>
      </c>
      <c r="BK326" s="30">
        <f t="shared" ref="BK326:BN332" si="719">IF(BK$7&gt;0,(LOOKUP(BK$7,$AH326:$AL326,$AM326:$AQ326)+IF($AG326="Y",SUMPRODUCT($AX326:$BB326-$AW326:$BA326,BK$7-$AR326:$AV326,N(BK$7&gt;$AR326:$AV326)),BK$7*LOOKUP(BK$7,$AR326:$AV326,$AX326:$BB326))+IF($BE326="Y",$BF326,$BC326)+BK$7*IF($BE326="Y",$BG326,$BD326))*100/BK$7,"")</f>
        <v>16.29</v>
      </c>
      <c r="BL326" s="30">
        <f t="shared" si="719"/>
        <v>15.794999999999998</v>
      </c>
      <c r="BM326" s="30">
        <f t="shared" si="719"/>
        <v>15.547499999999999</v>
      </c>
      <c r="BN326" s="29">
        <f t="shared" si="719"/>
        <v>15.465</v>
      </c>
      <c r="BO326" s="85" t="str">
        <f t="shared" si="2"/>
        <v>$$$</v>
      </c>
      <c r="BP326" s="88" t="str">
        <f t="shared" ref="BP326:BP332" si="720">IFERROR(BO326*100/BO$5,"$$$")</f>
        <v>$$$</v>
      </c>
      <c r="BQ326" s="88" t="str">
        <f t="shared" si="4"/>
        <v>$$$</v>
      </c>
      <c r="BR326" s="88" t="str">
        <f t="shared" si="5"/>
        <v>$$$</v>
      </c>
      <c r="BS326" s="29" t="e">
        <f t="shared" ref="BS326:CD332" si="721">IF($CI326,IF(BS$7&gt;0,IF(BS$4&gt;$Q326,$BF326+BS$7*(BS$5+$BG326+$BI326),LOOKUP(BS$7,$AH326:$AL326,$AM326:$AQ326)+IF($AG326="Y",SUMPRODUCT($AX326:$BB326-$AW326:$BA326,BS$7-$AR326:$AV326,N(BS$7&gt;$AR326:$AV326)),BS$7*LOOKUP(BS$7,$AR326:$AV326,$AX326:$BB326))+IF($BE326="Y",$BF326,$BC326)+BS$7*IF($BE326="Y",$BG326,$BD326))*100/BS$7,""),NA())</f>
        <v>#N/A</v>
      </c>
      <c r="BT326" s="29" t="e">
        <f t="shared" si="721"/>
        <v>#N/A</v>
      </c>
      <c r="BU326" s="29" t="e">
        <f t="shared" si="721"/>
        <v>#N/A</v>
      </c>
      <c r="BV326" s="29" t="e">
        <f t="shared" si="721"/>
        <v>#N/A</v>
      </c>
      <c r="BW326" s="29" t="e">
        <f t="shared" si="721"/>
        <v>#N/A</v>
      </c>
      <c r="BX326" s="29" t="e">
        <f t="shared" si="721"/>
        <v>#N/A</v>
      </c>
      <c r="BY326" s="29" t="e">
        <f t="shared" si="721"/>
        <v>#N/A</v>
      </c>
      <c r="BZ326" s="29" t="e">
        <f t="shared" si="721"/>
        <v>#N/A</v>
      </c>
      <c r="CA326" s="29" t="e">
        <f t="shared" si="721"/>
        <v>#N/A</v>
      </c>
      <c r="CB326" s="29" t="e">
        <f t="shared" si="721"/>
        <v>#N/A</v>
      </c>
      <c r="CC326" s="29" t="e">
        <f t="shared" si="721"/>
        <v>#N/A</v>
      </c>
      <c r="CD326" s="29" t="e">
        <f t="shared" si="721"/>
        <v>#N/A</v>
      </c>
      <c r="CE326" s="6" t="str">
        <f t="shared" si="616"/>
        <v/>
      </c>
      <c r="CF326" s="27" t="e">
        <f>IF(AND(CI326,NOT(AD326)),LOOKUP(CF$5,{0,750,1500},H326:J326),"")</f>
        <v>#N/A</v>
      </c>
      <c r="CG326" s="6" t="str">
        <f t="shared" si="617"/>
        <v/>
      </c>
      <c r="CH326" t="e">
        <f t="shared" ref="CH326:CH332" si="722">IF(CI326,IF(ISNUMBER(BO326),BO326,100000)+CV326/10000+IF(ISNUMBER(BJ326),BJ326,2)/10000-P326/100000+ROW()/10000000,"")</f>
        <v>#N/A</v>
      </c>
      <c r="CI326" t="e">
        <f t="shared" ref="CI326:CI332" si="723">PRODUCT(CJ326:CQ326)</f>
        <v>#N/A</v>
      </c>
      <c r="CJ326" s="6" t="e">
        <f t="shared" si="11"/>
        <v>#N/A</v>
      </c>
      <c r="CK326" s="6">
        <f t="shared" si="12"/>
        <v>1</v>
      </c>
      <c r="CL326" s="6">
        <f t="shared" si="26"/>
        <v>1</v>
      </c>
      <c r="CM326" s="6">
        <f t="shared" si="13"/>
        <v>1</v>
      </c>
      <c r="CN326" s="6">
        <f t="shared" si="14"/>
        <v>1</v>
      </c>
      <c r="CO326" s="6">
        <f t="shared" si="15"/>
        <v>0</v>
      </c>
      <c r="CP326" s="6">
        <f t="shared" si="16"/>
        <v>1</v>
      </c>
      <c r="CQ326" s="6">
        <f t="shared" ref="CQ326:CQ332" si="724">IF(CQ$5="Any",1,IF(AND(CQ$5="Med",AV326=0,SUM(AN326:AQ326)=0),1,IF(AND(CQ$5="Low",AV326=0,SUM(AN326:AQ326)=0,AM326=0),1,IF(AND(CQ$5="Flat",AV326=0,SUM(AN326:AQ326)=0,AM326=0,IFERROR(NOT(BE326="Y"),0)),1,0))))</f>
        <v>1</v>
      </c>
      <c r="CR326" s="81" t="str">
        <f t="shared" si="17"/>
        <v/>
      </c>
      <c r="CS326">
        <f t="shared" ref="CS326:CS332" si="725">CS$5*(12/(MIN(12,Q326))-1)</f>
        <v>0</v>
      </c>
      <c r="CT326">
        <f t="shared" si="615"/>
        <v>20</v>
      </c>
      <c r="CU326" t="str">
        <f t="shared" si="29"/>
        <v>rm</v>
      </c>
      <c r="CV326" s="81">
        <f t="shared" ref="CV326:CV332" si="726">CT326*IF(CU326="",1,Q326)</f>
        <v>720</v>
      </c>
      <c r="CW326" s="81">
        <f>(CV326/25)^1.5*(Calculator!$BU$4/10000)*CW$5</f>
        <v>399.08260508152779</v>
      </c>
      <c r="CX326" t="str">
        <f t="shared" ref="CX326:CX332" si="727">"$"&amp;IF(LEFT(CU326,1)="r",CT326&amp;"/"&amp;CU326,CV326)</f>
        <v>$20/rm</v>
      </c>
    </row>
    <row r="327" spans="2:102" x14ac:dyDescent="0.25">
      <c r="B327" s="115" t="s">
        <v>233</v>
      </c>
      <c r="C327" s="13">
        <v>46218.518055555556</v>
      </c>
      <c r="D327">
        <v>31482</v>
      </c>
      <c r="E327" s="54" t="s">
        <v>235</v>
      </c>
      <c r="F327" s="54" t="s">
        <v>751</v>
      </c>
      <c r="G327" s="54" t="s">
        <v>766</v>
      </c>
      <c r="H327" s="55">
        <v>15.299999999999999</v>
      </c>
      <c r="I327" s="55">
        <v>14.799999999999999</v>
      </c>
      <c r="J327" s="55">
        <v>14.499999999999998</v>
      </c>
      <c r="K327" s="54"/>
      <c r="L327" s="56" t="b">
        <v>0</v>
      </c>
      <c r="M327" s="56" t="b">
        <v>0</v>
      </c>
      <c r="N327" s="54">
        <v>1</v>
      </c>
      <c r="O327" s="54" t="s">
        <v>228</v>
      </c>
      <c r="P327" s="54">
        <v>3</v>
      </c>
      <c r="Q327" s="54">
        <v>36</v>
      </c>
      <c r="R327" s="54" t="s">
        <v>754</v>
      </c>
      <c r="S327" s="54" t="s">
        <v>755</v>
      </c>
      <c r="T327" s="54" t="s">
        <v>756</v>
      </c>
      <c r="U327" s="54" t="s">
        <v>770</v>
      </c>
      <c r="V327" s="54" t="s">
        <v>771</v>
      </c>
      <c r="W327" s="54" t="b">
        <v>0</v>
      </c>
      <c r="X327" s="54"/>
      <c r="Y327" s="57" t="s">
        <v>772</v>
      </c>
      <c r="Z327" s="54" t="s">
        <v>760</v>
      </c>
      <c r="AA327" s="54"/>
      <c r="AB327" s="54" t="s">
        <v>761</v>
      </c>
      <c r="AC327" s="56" t="b">
        <v>0</v>
      </c>
      <c r="AD327" s="56" t="b">
        <v>0</v>
      </c>
      <c r="AE327" s="54" t="s">
        <v>303</v>
      </c>
      <c r="AF327" s="58">
        <v>46218</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0.14299999999999999</v>
      </c>
      <c r="BC327" s="60"/>
      <c r="BD327" s="61"/>
      <c r="BE327" s="62" t="s">
        <v>762</v>
      </c>
      <c r="BF327" s="35">
        <f t="shared" si="0"/>
        <v>4.9000000000000004</v>
      </c>
      <c r="BG327" s="35">
        <f t="shared" si="0"/>
        <v>5.1461E-2</v>
      </c>
      <c r="BH327" s="35" t="str">
        <f t="shared" si="717"/>
        <v>Med</v>
      </c>
      <c r="BI327" s="110">
        <f t="shared" si="718"/>
        <v>0</v>
      </c>
      <c r="BJ327" s="83">
        <f>VLOOKUP($F327,REP_Info!$D$6:$H$250,5,FALSE)</f>
        <v>1.272</v>
      </c>
      <c r="BK327" s="30">
        <f t="shared" si="719"/>
        <v>15.29</v>
      </c>
      <c r="BL327" s="30">
        <f t="shared" si="719"/>
        <v>14.794999999999998</v>
      </c>
      <c r="BM327" s="30">
        <f t="shared" si="719"/>
        <v>14.547499999999999</v>
      </c>
      <c r="BN327" s="29">
        <f t="shared" si="719"/>
        <v>14.464999999999998</v>
      </c>
      <c r="BO327" s="85" t="str">
        <f t="shared" si="2"/>
        <v>$$$</v>
      </c>
      <c r="BP327" s="88" t="str">
        <f t="shared" si="720"/>
        <v>$$$</v>
      </c>
      <c r="BQ327" s="88" t="str">
        <f t="shared" si="4"/>
        <v>$$$</v>
      </c>
      <c r="BR327" s="88" t="str">
        <f t="shared" si="5"/>
        <v>$$$</v>
      </c>
      <c r="BS327" s="29" t="e">
        <f t="shared" si="721"/>
        <v>#N/A</v>
      </c>
      <c r="BT327" s="29" t="e">
        <f t="shared" si="721"/>
        <v>#N/A</v>
      </c>
      <c r="BU327" s="29" t="e">
        <f t="shared" si="721"/>
        <v>#N/A</v>
      </c>
      <c r="BV327" s="29" t="e">
        <f t="shared" si="721"/>
        <v>#N/A</v>
      </c>
      <c r="BW327" s="29" t="e">
        <f t="shared" si="721"/>
        <v>#N/A</v>
      </c>
      <c r="BX327" s="29" t="e">
        <f t="shared" si="721"/>
        <v>#N/A</v>
      </c>
      <c r="BY327" s="29" t="e">
        <f t="shared" si="721"/>
        <v>#N/A</v>
      </c>
      <c r="BZ327" s="29" t="e">
        <f t="shared" si="721"/>
        <v>#N/A</v>
      </c>
      <c r="CA327" s="29" t="e">
        <f t="shared" si="721"/>
        <v>#N/A</v>
      </c>
      <c r="CB327" s="29" t="e">
        <f t="shared" si="721"/>
        <v>#N/A</v>
      </c>
      <c r="CC327" s="29" t="e">
        <f t="shared" si="721"/>
        <v>#N/A</v>
      </c>
      <c r="CD327" s="29" t="e">
        <f t="shared" si="721"/>
        <v>#N/A</v>
      </c>
      <c r="CE327" s="6" t="str">
        <f t="shared" si="616"/>
        <v/>
      </c>
      <c r="CF327" s="27" t="e">
        <f>IF(AND(CI327,NOT(AD327)),LOOKUP(CF$5,{0,750,1500},H327:J327),"")</f>
        <v>#N/A</v>
      </c>
      <c r="CG327" s="6" t="str">
        <f t="shared" si="617"/>
        <v/>
      </c>
      <c r="CH327" t="e">
        <f t="shared" si="722"/>
        <v>#N/A</v>
      </c>
      <c r="CI327" t="e">
        <f t="shared" si="723"/>
        <v>#N/A</v>
      </c>
      <c r="CJ327" s="6" t="e">
        <f t="shared" si="11"/>
        <v>#N/A</v>
      </c>
      <c r="CK327" s="6">
        <f t="shared" si="12"/>
        <v>1</v>
      </c>
      <c r="CL327" s="6">
        <f t="shared" si="26"/>
        <v>1</v>
      </c>
      <c r="CM327" s="6">
        <f t="shared" si="13"/>
        <v>1</v>
      </c>
      <c r="CN327" s="6">
        <f t="shared" si="14"/>
        <v>1</v>
      </c>
      <c r="CO327" s="6">
        <f t="shared" si="15"/>
        <v>0</v>
      </c>
      <c r="CP327" s="6">
        <f t="shared" si="16"/>
        <v>1</v>
      </c>
      <c r="CQ327" s="6">
        <f t="shared" si="724"/>
        <v>1</v>
      </c>
      <c r="CR327" s="81" t="str">
        <f t="shared" si="17"/>
        <v/>
      </c>
      <c r="CS327">
        <f t="shared" si="725"/>
        <v>0</v>
      </c>
      <c r="CT327">
        <f t="shared" si="615"/>
        <v>20</v>
      </c>
      <c r="CU327" t="str">
        <f t="shared" si="29"/>
        <v>rm</v>
      </c>
      <c r="CV327" s="81">
        <f t="shared" si="726"/>
        <v>720</v>
      </c>
      <c r="CW327" s="81">
        <f>(CV327/25)^1.5*(Calculator!$BU$4/10000)*CW$5</f>
        <v>399.08260508152779</v>
      </c>
      <c r="CX327" t="str">
        <f t="shared" si="727"/>
        <v>$20/rm</v>
      </c>
    </row>
    <row r="328" spans="2:102" x14ac:dyDescent="0.25">
      <c r="B328" s="115" t="s">
        <v>233</v>
      </c>
      <c r="C328" s="13">
        <v>46218.518055555556</v>
      </c>
      <c r="D328">
        <v>31494</v>
      </c>
      <c r="E328" s="54" t="s">
        <v>237</v>
      </c>
      <c r="F328" s="54" t="s">
        <v>751</v>
      </c>
      <c r="G328" s="54" t="s">
        <v>773</v>
      </c>
      <c r="H328" s="55">
        <v>15.7</v>
      </c>
      <c r="I328" s="55">
        <v>15.2</v>
      </c>
      <c r="J328" s="55">
        <v>14.899999999999999</v>
      </c>
      <c r="K328" s="54"/>
      <c r="L328" s="56" t="b">
        <v>0</v>
      </c>
      <c r="M328" s="56" t="b">
        <v>0</v>
      </c>
      <c r="N328" s="54">
        <v>1</v>
      </c>
      <c r="O328" s="54" t="s">
        <v>228</v>
      </c>
      <c r="P328" s="54">
        <v>3</v>
      </c>
      <c r="Q328" s="54">
        <v>12</v>
      </c>
      <c r="R328" s="54" t="s">
        <v>754</v>
      </c>
      <c r="S328" s="54" t="s">
        <v>755</v>
      </c>
      <c r="T328" s="54" t="s">
        <v>756</v>
      </c>
      <c r="U328" s="54" t="s">
        <v>774</v>
      </c>
      <c r="V328" s="54" t="s">
        <v>775</v>
      </c>
      <c r="W328" s="54" t="b">
        <v>0</v>
      </c>
      <c r="X328" s="54"/>
      <c r="Y328" s="57" t="s">
        <v>776</v>
      </c>
      <c r="Z328" s="54" t="s">
        <v>760</v>
      </c>
      <c r="AA328" s="54"/>
      <c r="AB328" s="54" t="s">
        <v>761</v>
      </c>
      <c r="AC328" s="56" t="b">
        <v>0</v>
      </c>
      <c r="AD328" s="56" t="b">
        <v>0</v>
      </c>
      <c r="AE328" s="54" t="s">
        <v>303</v>
      </c>
      <c r="AF328" s="58">
        <v>46218</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0.14699999999999999</v>
      </c>
      <c r="BC328" s="60"/>
      <c r="BD328" s="61"/>
      <c r="BE328" s="62" t="s">
        <v>762</v>
      </c>
      <c r="BF328" s="35">
        <f t="shared" ref="BF328:BG332" si="728">IF($E328=$E$4,BF$4,IF($E328=$E$5,BF$5,""))</f>
        <v>4.0600000000000005</v>
      </c>
      <c r="BG328" s="35">
        <f t="shared" si="728"/>
        <v>6.0295000000000001E-2</v>
      </c>
      <c r="BH328" s="35" t="str">
        <f t="shared" si="717"/>
        <v>Med</v>
      </c>
      <c r="BI328" s="110">
        <f t="shared" si="718"/>
        <v>0</v>
      </c>
      <c r="BJ328" s="83">
        <f>VLOOKUP($F328,REP_Info!$D$6:$H$250,5,FALSE)</f>
        <v>1.272</v>
      </c>
      <c r="BK328" s="30">
        <f t="shared" si="719"/>
        <v>15.69</v>
      </c>
      <c r="BL328" s="30">
        <f t="shared" si="719"/>
        <v>15.194999999999999</v>
      </c>
      <c r="BM328" s="30">
        <f t="shared" si="719"/>
        <v>14.9475</v>
      </c>
      <c r="BN328" s="29">
        <f t="shared" si="719"/>
        <v>14.865</v>
      </c>
      <c r="BO328" s="85" t="str">
        <f t="shared" si="2"/>
        <v>$$$</v>
      </c>
      <c r="BP328" s="88" t="str">
        <f t="shared" si="720"/>
        <v>$$$</v>
      </c>
      <c r="BQ328" s="88" t="str">
        <f t="shared" si="4"/>
        <v>$$$</v>
      </c>
      <c r="BR328" s="88" t="str">
        <f t="shared" si="5"/>
        <v>$$$</v>
      </c>
      <c r="BS328" s="29" t="e">
        <f t="shared" si="721"/>
        <v>#N/A</v>
      </c>
      <c r="BT328" s="29" t="e">
        <f t="shared" si="721"/>
        <v>#N/A</v>
      </c>
      <c r="BU328" s="29" t="e">
        <f t="shared" si="721"/>
        <v>#N/A</v>
      </c>
      <c r="BV328" s="29" t="e">
        <f t="shared" si="721"/>
        <v>#N/A</v>
      </c>
      <c r="BW328" s="29" t="e">
        <f t="shared" si="721"/>
        <v>#N/A</v>
      </c>
      <c r="BX328" s="29" t="e">
        <f t="shared" si="721"/>
        <v>#N/A</v>
      </c>
      <c r="BY328" s="29" t="e">
        <f t="shared" si="721"/>
        <v>#N/A</v>
      </c>
      <c r="BZ328" s="29" t="e">
        <f t="shared" si="721"/>
        <v>#N/A</v>
      </c>
      <c r="CA328" s="29" t="e">
        <f t="shared" si="721"/>
        <v>#N/A</v>
      </c>
      <c r="CB328" s="29" t="e">
        <f t="shared" si="721"/>
        <v>#N/A</v>
      </c>
      <c r="CC328" s="29" t="e">
        <f t="shared" si="721"/>
        <v>#N/A</v>
      </c>
      <c r="CD328" s="29" t="e">
        <f t="shared" si="721"/>
        <v>#N/A</v>
      </c>
      <c r="CE328" s="6" t="str">
        <f t="shared" si="616"/>
        <v/>
      </c>
      <c r="CF328" s="27" t="e">
        <f>IF(AND(CI328,NOT(AD328)),LOOKUP(CF$5,{0,750,1500},H328:J328),"")</f>
        <v>#N/A</v>
      </c>
      <c r="CG328" s="6" t="str">
        <f t="shared" si="617"/>
        <v/>
      </c>
      <c r="CH328" t="e">
        <f t="shared" si="722"/>
        <v>#N/A</v>
      </c>
      <c r="CI328" t="e">
        <f t="shared" si="723"/>
        <v>#N/A</v>
      </c>
      <c r="CJ328" s="6" t="e">
        <f t="shared" si="11"/>
        <v>#N/A</v>
      </c>
      <c r="CK328" s="6">
        <f t="shared" si="12"/>
        <v>1</v>
      </c>
      <c r="CL328" s="6">
        <f t="shared" si="26"/>
        <v>1</v>
      </c>
      <c r="CM328" s="6">
        <f t="shared" si="13"/>
        <v>1</v>
      </c>
      <c r="CN328" s="6">
        <f t="shared" si="14"/>
        <v>1</v>
      </c>
      <c r="CO328" s="6">
        <f t="shared" si="15"/>
        <v>1</v>
      </c>
      <c r="CP328" s="6">
        <f t="shared" si="16"/>
        <v>1</v>
      </c>
      <c r="CQ328" s="6">
        <f t="shared" si="724"/>
        <v>1</v>
      </c>
      <c r="CR328" s="81" t="str">
        <f t="shared" si="17"/>
        <v/>
      </c>
      <c r="CS328">
        <f t="shared" si="725"/>
        <v>0</v>
      </c>
      <c r="CT328">
        <f t="shared" si="615"/>
        <v>20</v>
      </c>
      <c r="CU328" t="str">
        <f t="shared" si="29"/>
        <v>rm</v>
      </c>
      <c r="CV328" s="81">
        <f t="shared" si="726"/>
        <v>240</v>
      </c>
      <c r="CW328" s="81">
        <f>(CV328/25)^1.5*(Calculator!$BU$4/10000)*CW$5</f>
        <v>76.803483157572401</v>
      </c>
      <c r="CX328" t="str">
        <f t="shared" si="727"/>
        <v>$20/rm</v>
      </c>
    </row>
    <row r="329" spans="2:102" x14ac:dyDescent="0.25">
      <c r="B329" s="115" t="s">
        <v>233</v>
      </c>
      <c r="C329" s="13">
        <v>46218.518055555556</v>
      </c>
      <c r="D329">
        <v>31495</v>
      </c>
      <c r="E329" s="54" t="s">
        <v>235</v>
      </c>
      <c r="F329" s="54" t="s">
        <v>751</v>
      </c>
      <c r="G329" s="54" t="s">
        <v>773</v>
      </c>
      <c r="H329" s="55">
        <v>14.7</v>
      </c>
      <c r="I329" s="55">
        <v>14.2</v>
      </c>
      <c r="J329" s="55">
        <v>13.900000000000002</v>
      </c>
      <c r="K329" s="54"/>
      <c r="L329" s="56" t="b">
        <v>0</v>
      </c>
      <c r="M329" s="56" t="b">
        <v>0</v>
      </c>
      <c r="N329" s="54">
        <v>1</v>
      </c>
      <c r="O329" s="54" t="s">
        <v>228</v>
      </c>
      <c r="P329" s="54">
        <v>3</v>
      </c>
      <c r="Q329" s="54">
        <v>12</v>
      </c>
      <c r="R329" s="54" t="s">
        <v>754</v>
      </c>
      <c r="S329" s="54" t="s">
        <v>755</v>
      </c>
      <c r="T329" s="54" t="s">
        <v>756</v>
      </c>
      <c r="U329" s="54" t="s">
        <v>777</v>
      </c>
      <c r="V329" s="54" t="s">
        <v>778</v>
      </c>
      <c r="W329" s="54" t="b">
        <v>0</v>
      </c>
      <c r="X329" s="54"/>
      <c r="Y329" s="57" t="s">
        <v>779</v>
      </c>
      <c r="Z329" s="54" t="s">
        <v>760</v>
      </c>
      <c r="AA329" s="54"/>
      <c r="AB329" s="54" t="s">
        <v>761</v>
      </c>
      <c r="AC329" s="56" t="b">
        <v>0</v>
      </c>
      <c r="AD329" s="56" t="b">
        <v>0</v>
      </c>
      <c r="AE329" s="54" t="s">
        <v>303</v>
      </c>
      <c r="AF329" s="58">
        <v>46218</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0.13700000000000001</v>
      </c>
      <c r="BC329" s="60"/>
      <c r="BD329" s="61"/>
      <c r="BE329" s="62" t="s">
        <v>762</v>
      </c>
      <c r="BF329" s="35">
        <f t="shared" si="728"/>
        <v>4.9000000000000004</v>
      </c>
      <c r="BG329" s="35">
        <f t="shared" si="728"/>
        <v>5.1461E-2</v>
      </c>
      <c r="BH329" s="35" t="str">
        <f t="shared" si="717"/>
        <v>Med</v>
      </c>
      <c r="BI329" s="110">
        <f t="shared" si="718"/>
        <v>0</v>
      </c>
      <c r="BJ329" s="83">
        <f>VLOOKUP($F329,REP_Info!$D$6:$H$250,5,FALSE)</f>
        <v>1.272</v>
      </c>
      <c r="BK329" s="30">
        <f t="shared" si="719"/>
        <v>14.69</v>
      </c>
      <c r="BL329" s="30">
        <f t="shared" si="719"/>
        <v>14.194999999999999</v>
      </c>
      <c r="BM329" s="30">
        <f t="shared" si="719"/>
        <v>13.9475</v>
      </c>
      <c r="BN329" s="29">
        <f t="shared" si="719"/>
        <v>13.865000000000002</v>
      </c>
      <c r="BO329" s="85" t="str">
        <f t="shared" si="2"/>
        <v>$$$</v>
      </c>
      <c r="BP329" s="88" t="str">
        <f t="shared" si="720"/>
        <v>$$$</v>
      </c>
      <c r="BQ329" s="88" t="str">
        <f t="shared" si="4"/>
        <v>$$$</v>
      </c>
      <c r="BR329" s="88" t="str">
        <f t="shared" si="5"/>
        <v>$$$</v>
      </c>
      <c r="BS329" s="29" t="e">
        <f t="shared" si="721"/>
        <v>#N/A</v>
      </c>
      <c r="BT329" s="29" t="e">
        <f t="shared" si="721"/>
        <v>#N/A</v>
      </c>
      <c r="BU329" s="29" t="e">
        <f t="shared" si="721"/>
        <v>#N/A</v>
      </c>
      <c r="BV329" s="29" t="e">
        <f t="shared" si="721"/>
        <v>#N/A</v>
      </c>
      <c r="BW329" s="29" t="e">
        <f t="shared" si="721"/>
        <v>#N/A</v>
      </c>
      <c r="BX329" s="29" t="e">
        <f t="shared" si="721"/>
        <v>#N/A</v>
      </c>
      <c r="BY329" s="29" t="e">
        <f t="shared" si="721"/>
        <v>#N/A</v>
      </c>
      <c r="BZ329" s="29" t="e">
        <f t="shared" si="721"/>
        <v>#N/A</v>
      </c>
      <c r="CA329" s="29" t="e">
        <f t="shared" si="721"/>
        <v>#N/A</v>
      </c>
      <c r="CB329" s="29" t="e">
        <f t="shared" si="721"/>
        <v>#N/A</v>
      </c>
      <c r="CC329" s="29" t="e">
        <f t="shared" si="721"/>
        <v>#N/A</v>
      </c>
      <c r="CD329" s="29" t="e">
        <f t="shared" si="721"/>
        <v>#N/A</v>
      </c>
      <c r="CE329" s="6" t="str">
        <f t="shared" si="616"/>
        <v/>
      </c>
      <c r="CF329" s="27" t="e">
        <f>IF(AND(CI329,NOT(AD329)),LOOKUP(CF$5,{0,750,1500},H329:J329),"")</f>
        <v>#N/A</v>
      </c>
      <c r="CG329" s="6" t="str">
        <f t="shared" si="617"/>
        <v/>
      </c>
      <c r="CH329" t="e">
        <f t="shared" si="722"/>
        <v>#N/A</v>
      </c>
      <c r="CI329" t="e">
        <f t="shared" si="723"/>
        <v>#N/A</v>
      </c>
      <c r="CJ329" s="6" t="e">
        <f t="shared" si="11"/>
        <v>#N/A</v>
      </c>
      <c r="CK329" s="6">
        <f t="shared" si="12"/>
        <v>1</v>
      </c>
      <c r="CL329" s="6">
        <f t="shared" si="26"/>
        <v>1</v>
      </c>
      <c r="CM329" s="6">
        <f t="shared" si="13"/>
        <v>1</v>
      </c>
      <c r="CN329" s="6">
        <f t="shared" si="14"/>
        <v>1</v>
      </c>
      <c r="CO329" s="6">
        <f t="shared" si="15"/>
        <v>1</v>
      </c>
      <c r="CP329" s="6">
        <f t="shared" si="16"/>
        <v>1</v>
      </c>
      <c r="CQ329" s="6">
        <f t="shared" si="724"/>
        <v>1</v>
      </c>
      <c r="CR329" s="81" t="str">
        <f t="shared" si="17"/>
        <v/>
      </c>
      <c r="CS329">
        <f t="shared" si="725"/>
        <v>0</v>
      </c>
      <c r="CT329">
        <f t="shared" si="615"/>
        <v>20</v>
      </c>
      <c r="CU329" t="str">
        <f t="shared" si="29"/>
        <v>rm</v>
      </c>
      <c r="CV329" s="81">
        <f t="shared" si="726"/>
        <v>240</v>
      </c>
      <c r="CW329" s="81">
        <f>(CV329/25)^1.5*(Calculator!$BU$4/10000)*CW$5</f>
        <v>76.803483157572401</v>
      </c>
      <c r="CX329" t="str">
        <f t="shared" si="727"/>
        <v>$20/rm</v>
      </c>
    </row>
    <row r="330" spans="2:102" x14ac:dyDescent="0.25">
      <c r="B330" s="115" t="s">
        <v>233</v>
      </c>
      <c r="C330" s="13">
        <v>46087.583333333336</v>
      </c>
      <c r="D330">
        <v>33171</v>
      </c>
      <c r="E330" s="54" t="s">
        <v>235</v>
      </c>
      <c r="F330" s="54" t="s">
        <v>751</v>
      </c>
      <c r="G330" s="54" t="s">
        <v>780</v>
      </c>
      <c r="H330" s="55">
        <v>14.299999999999999</v>
      </c>
      <c r="I330" s="55">
        <v>13.8</v>
      </c>
      <c r="J330" s="55">
        <v>13.5</v>
      </c>
      <c r="K330" s="54"/>
      <c r="L330" s="56" t="b">
        <v>0</v>
      </c>
      <c r="M330" s="56" t="b">
        <v>0</v>
      </c>
      <c r="N330" s="54">
        <v>1</v>
      </c>
      <c r="O330" s="54" t="s">
        <v>228</v>
      </c>
      <c r="P330" s="54">
        <v>3</v>
      </c>
      <c r="Q330" s="54">
        <v>28</v>
      </c>
      <c r="R330" s="54" t="s">
        <v>754</v>
      </c>
      <c r="S330" s="54" t="s">
        <v>755</v>
      </c>
      <c r="T330" s="54" t="s">
        <v>756</v>
      </c>
      <c r="U330" s="54" t="s">
        <v>781</v>
      </c>
      <c r="V330" s="54" t="s">
        <v>782</v>
      </c>
      <c r="W330" s="54" t="b">
        <v>0</v>
      </c>
      <c r="X330" s="54"/>
      <c r="Y330" s="57" t="s">
        <v>783</v>
      </c>
      <c r="Z330" s="54" t="s">
        <v>760</v>
      </c>
      <c r="AA330" s="54"/>
      <c r="AB330" s="54" t="s">
        <v>761</v>
      </c>
      <c r="AC330" s="56" t="b">
        <v>0</v>
      </c>
      <c r="AD330" s="56" t="b">
        <v>0</v>
      </c>
      <c r="AE330" s="54" t="s">
        <v>303</v>
      </c>
      <c r="AF330" s="58">
        <v>46087</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0.13300000000000001</v>
      </c>
      <c r="BC330" s="60"/>
      <c r="BD330" s="61"/>
      <c r="BE330" s="62" t="s">
        <v>762</v>
      </c>
      <c r="BF330" s="35">
        <f t="shared" si="728"/>
        <v>4.9000000000000004</v>
      </c>
      <c r="BG330" s="35">
        <f t="shared" si="728"/>
        <v>5.1461E-2</v>
      </c>
      <c r="BH330" s="35" t="str">
        <f t="shared" si="717"/>
        <v>Med</v>
      </c>
      <c r="BI330" s="110">
        <f t="shared" si="718"/>
        <v>0</v>
      </c>
      <c r="BJ330" s="83">
        <f>VLOOKUP($F330,REP_Info!$D$6:$H$250,5,FALSE)</f>
        <v>1.272</v>
      </c>
      <c r="BK330" s="30">
        <f t="shared" si="719"/>
        <v>14.29</v>
      </c>
      <c r="BL330" s="30">
        <f t="shared" si="719"/>
        <v>13.794999999999998</v>
      </c>
      <c r="BM330" s="30">
        <f t="shared" si="719"/>
        <v>13.547499999999999</v>
      </c>
      <c r="BN330" s="29">
        <f t="shared" si="719"/>
        <v>13.465</v>
      </c>
      <c r="BO330" s="85" t="str">
        <f t="shared" si="2"/>
        <v>$$$</v>
      </c>
      <c r="BP330" s="88" t="str">
        <f t="shared" si="720"/>
        <v>$$$</v>
      </c>
      <c r="BQ330" s="88" t="str">
        <f t="shared" si="4"/>
        <v>$$$</v>
      </c>
      <c r="BR330" s="88" t="str">
        <f t="shared" si="5"/>
        <v>$$$</v>
      </c>
      <c r="BS330" s="29" t="e">
        <f t="shared" si="721"/>
        <v>#N/A</v>
      </c>
      <c r="BT330" s="29" t="e">
        <f t="shared" si="721"/>
        <v>#N/A</v>
      </c>
      <c r="BU330" s="29" t="e">
        <f t="shared" si="721"/>
        <v>#N/A</v>
      </c>
      <c r="BV330" s="29" t="e">
        <f t="shared" si="721"/>
        <v>#N/A</v>
      </c>
      <c r="BW330" s="29" t="e">
        <f t="shared" si="721"/>
        <v>#N/A</v>
      </c>
      <c r="BX330" s="29" t="e">
        <f t="shared" si="721"/>
        <v>#N/A</v>
      </c>
      <c r="BY330" s="29" t="e">
        <f t="shared" si="721"/>
        <v>#N/A</v>
      </c>
      <c r="BZ330" s="29" t="e">
        <f t="shared" si="721"/>
        <v>#N/A</v>
      </c>
      <c r="CA330" s="29" t="e">
        <f t="shared" si="721"/>
        <v>#N/A</v>
      </c>
      <c r="CB330" s="29" t="e">
        <f t="shared" si="721"/>
        <v>#N/A</v>
      </c>
      <c r="CC330" s="29" t="e">
        <f t="shared" si="721"/>
        <v>#N/A</v>
      </c>
      <c r="CD330" s="29" t="e">
        <f t="shared" si="721"/>
        <v>#N/A</v>
      </c>
      <c r="CE330" s="6" t="str">
        <f t="shared" si="616"/>
        <v/>
      </c>
      <c r="CF330" s="27" t="e">
        <f>IF(AND(CI330,NOT(AD330)),LOOKUP(CF$5,{0,750,1500},H330:J330),"")</f>
        <v>#N/A</v>
      </c>
      <c r="CG330" s="6" t="str">
        <f t="shared" si="617"/>
        <v/>
      </c>
      <c r="CH330" t="e">
        <f t="shared" si="722"/>
        <v>#N/A</v>
      </c>
      <c r="CI330" t="e">
        <f t="shared" si="723"/>
        <v>#N/A</v>
      </c>
      <c r="CJ330" s="6" t="e">
        <f t="shared" si="11"/>
        <v>#N/A</v>
      </c>
      <c r="CK330" s="6">
        <f t="shared" si="12"/>
        <v>1</v>
      </c>
      <c r="CL330" s="6">
        <f t="shared" si="26"/>
        <v>1</v>
      </c>
      <c r="CM330" s="6">
        <f t="shared" si="13"/>
        <v>1</v>
      </c>
      <c r="CN330" s="6">
        <f t="shared" si="14"/>
        <v>1</v>
      </c>
      <c r="CO330" s="6">
        <f t="shared" si="15"/>
        <v>0</v>
      </c>
      <c r="CP330" s="6">
        <f t="shared" si="16"/>
        <v>1</v>
      </c>
      <c r="CQ330" s="6">
        <f t="shared" si="724"/>
        <v>1</v>
      </c>
      <c r="CR330" s="81" t="str">
        <f t="shared" si="17"/>
        <v/>
      </c>
      <c r="CS330">
        <f t="shared" si="725"/>
        <v>0</v>
      </c>
      <c r="CT330">
        <f t="shared" si="615"/>
        <v>20</v>
      </c>
      <c r="CU330" t="str">
        <f t="shared" si="29"/>
        <v>rm</v>
      </c>
      <c r="CV330" s="81">
        <f t="shared" si="726"/>
        <v>560</v>
      </c>
      <c r="CW330" s="81">
        <f>(CV330/25)^1.5*(Calculator!$BU$4/10000)*CW$5</f>
        <v>273.74493627121012</v>
      </c>
      <c r="CX330" t="str">
        <f t="shared" si="727"/>
        <v>$20/rm</v>
      </c>
    </row>
    <row r="331" spans="2:102" x14ac:dyDescent="0.25">
      <c r="B331" s="115" t="s">
        <v>233</v>
      </c>
      <c r="C331" s="13">
        <v>46218.518055555556</v>
      </c>
      <c r="D331">
        <v>34469</v>
      </c>
      <c r="E331" s="54" t="s">
        <v>237</v>
      </c>
      <c r="F331" s="54" t="s">
        <v>751</v>
      </c>
      <c r="G331" s="54" t="s">
        <v>780</v>
      </c>
      <c r="H331" s="55">
        <v>15.299999999999999</v>
      </c>
      <c r="I331" s="55">
        <v>14.799999999999999</v>
      </c>
      <c r="J331" s="55">
        <v>14.499999999999998</v>
      </c>
      <c r="K331" s="54"/>
      <c r="L331" s="56" t="b">
        <v>0</v>
      </c>
      <c r="M331" s="56" t="b">
        <v>0</v>
      </c>
      <c r="N331" s="54">
        <v>1</v>
      </c>
      <c r="O331" s="54" t="s">
        <v>228</v>
      </c>
      <c r="P331" s="54">
        <v>3</v>
      </c>
      <c r="Q331" s="54">
        <v>28</v>
      </c>
      <c r="R331" s="54" t="s">
        <v>754</v>
      </c>
      <c r="S331" s="54" t="s">
        <v>755</v>
      </c>
      <c r="T331" s="54" t="s">
        <v>756</v>
      </c>
      <c r="U331" s="54" t="s">
        <v>784</v>
      </c>
      <c r="V331" s="54" t="s">
        <v>785</v>
      </c>
      <c r="W331" s="54" t="b">
        <v>0</v>
      </c>
      <c r="X331" s="54"/>
      <c r="Y331" s="57" t="s">
        <v>786</v>
      </c>
      <c r="Z331" s="54" t="s">
        <v>760</v>
      </c>
      <c r="AA331" s="54"/>
      <c r="AB331" s="54" t="s">
        <v>761</v>
      </c>
      <c r="AC331" s="56" t="b">
        <v>0</v>
      </c>
      <c r="AD331" s="56" t="b">
        <v>0</v>
      </c>
      <c r="AE331" s="54" t="s">
        <v>303</v>
      </c>
      <c r="AF331" s="58">
        <v>46218</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0.14299999999999999</v>
      </c>
      <c r="BC331" s="60"/>
      <c r="BD331" s="61"/>
      <c r="BE331" s="62" t="s">
        <v>762</v>
      </c>
      <c r="BF331" s="35">
        <f t="shared" si="728"/>
        <v>4.0600000000000005</v>
      </c>
      <c r="BG331" s="35">
        <f t="shared" si="728"/>
        <v>6.0295000000000001E-2</v>
      </c>
      <c r="BH331" s="35" t="str">
        <f t="shared" si="717"/>
        <v>Med</v>
      </c>
      <c r="BI331" s="110">
        <f t="shared" si="718"/>
        <v>0</v>
      </c>
      <c r="BJ331" s="83">
        <f>VLOOKUP($F331,REP_Info!$D$6:$H$250,5,FALSE)</f>
        <v>1.272</v>
      </c>
      <c r="BK331" s="30">
        <f t="shared" si="719"/>
        <v>15.29</v>
      </c>
      <c r="BL331" s="30">
        <f t="shared" si="719"/>
        <v>14.794999999999998</v>
      </c>
      <c r="BM331" s="30">
        <f t="shared" si="719"/>
        <v>14.547499999999999</v>
      </c>
      <c r="BN331" s="29">
        <f t="shared" si="719"/>
        <v>14.464999999999998</v>
      </c>
      <c r="BO331" s="85" t="str">
        <f t="shared" si="2"/>
        <v>$$$</v>
      </c>
      <c r="BP331" s="88" t="str">
        <f t="shared" si="720"/>
        <v>$$$</v>
      </c>
      <c r="BQ331" s="88" t="str">
        <f t="shared" si="4"/>
        <v>$$$</v>
      </c>
      <c r="BR331" s="88" t="str">
        <f t="shared" si="5"/>
        <v>$$$</v>
      </c>
      <c r="BS331" s="29" t="e">
        <f t="shared" si="721"/>
        <v>#N/A</v>
      </c>
      <c r="BT331" s="29" t="e">
        <f t="shared" si="721"/>
        <v>#N/A</v>
      </c>
      <c r="BU331" s="29" t="e">
        <f t="shared" si="721"/>
        <v>#N/A</v>
      </c>
      <c r="BV331" s="29" t="e">
        <f t="shared" si="721"/>
        <v>#N/A</v>
      </c>
      <c r="BW331" s="29" t="e">
        <f t="shared" si="721"/>
        <v>#N/A</v>
      </c>
      <c r="BX331" s="29" t="e">
        <f t="shared" si="721"/>
        <v>#N/A</v>
      </c>
      <c r="BY331" s="29" t="e">
        <f t="shared" si="721"/>
        <v>#N/A</v>
      </c>
      <c r="BZ331" s="29" t="e">
        <f t="shared" si="721"/>
        <v>#N/A</v>
      </c>
      <c r="CA331" s="29" t="e">
        <f t="shared" si="721"/>
        <v>#N/A</v>
      </c>
      <c r="CB331" s="29" t="e">
        <f t="shared" si="721"/>
        <v>#N/A</v>
      </c>
      <c r="CC331" s="29" t="e">
        <f t="shared" si="721"/>
        <v>#N/A</v>
      </c>
      <c r="CD331" s="29" t="e">
        <f t="shared" si="721"/>
        <v>#N/A</v>
      </c>
      <c r="CE331" s="6" t="str">
        <f t="shared" si="616"/>
        <v/>
      </c>
      <c r="CF331" s="27" t="e">
        <f>IF(AND(CI331,NOT(AD331)),LOOKUP(CF$5,{0,750,1500},H331:J331),"")</f>
        <v>#N/A</v>
      </c>
      <c r="CG331" s="6" t="str">
        <f t="shared" si="617"/>
        <v/>
      </c>
      <c r="CH331" t="e">
        <f t="shared" si="722"/>
        <v>#N/A</v>
      </c>
      <c r="CI331" t="e">
        <f t="shared" si="723"/>
        <v>#N/A</v>
      </c>
      <c r="CJ331" s="6" t="e">
        <f t="shared" si="11"/>
        <v>#N/A</v>
      </c>
      <c r="CK331" s="6">
        <f t="shared" si="12"/>
        <v>1</v>
      </c>
      <c r="CL331" s="6">
        <f t="shared" si="26"/>
        <v>1</v>
      </c>
      <c r="CM331" s="6">
        <f t="shared" si="13"/>
        <v>1</v>
      </c>
      <c r="CN331" s="6">
        <f t="shared" si="14"/>
        <v>1</v>
      </c>
      <c r="CO331" s="6">
        <f t="shared" si="15"/>
        <v>0</v>
      </c>
      <c r="CP331" s="6">
        <f t="shared" si="16"/>
        <v>1</v>
      </c>
      <c r="CQ331" s="6">
        <f t="shared" si="724"/>
        <v>1</v>
      </c>
      <c r="CR331" s="81" t="str">
        <f t="shared" si="17"/>
        <v/>
      </c>
      <c r="CS331">
        <f t="shared" si="725"/>
        <v>0</v>
      </c>
      <c r="CT331">
        <f t="shared" si="615"/>
        <v>20</v>
      </c>
      <c r="CU331" t="str">
        <f t="shared" si="29"/>
        <v>rm</v>
      </c>
      <c r="CV331" s="81">
        <f t="shared" si="726"/>
        <v>560</v>
      </c>
      <c r="CW331" s="81">
        <f>(CV331/25)^1.5*(Calculator!$BU$4/10000)*CW$5</f>
        <v>273.74493627121012</v>
      </c>
      <c r="CX331" t="str">
        <f t="shared" si="727"/>
        <v>$20/rm</v>
      </c>
    </row>
    <row r="332" spans="2:102" x14ac:dyDescent="0.25">
      <c r="B332" s="115" t="s">
        <v>233</v>
      </c>
      <c r="C332" s="13">
        <v>46236.341666666667</v>
      </c>
      <c r="D332">
        <v>37051</v>
      </c>
      <c r="E332" s="54" t="s">
        <v>235</v>
      </c>
      <c r="F332" s="54" t="s">
        <v>787</v>
      </c>
      <c r="G332" s="54" t="s">
        <v>1715</v>
      </c>
      <c r="H332" s="55">
        <v>11.1</v>
      </c>
      <c r="I332" s="55">
        <v>10.6</v>
      </c>
      <c r="J332" s="55">
        <v>10.4</v>
      </c>
      <c r="K332" s="54"/>
      <c r="L332" s="56" t="b">
        <v>0</v>
      </c>
      <c r="M332" s="56" t="b">
        <v>0</v>
      </c>
      <c r="N332" s="54">
        <v>1</v>
      </c>
      <c r="O332" s="54" t="s">
        <v>228</v>
      </c>
      <c r="P332" s="54">
        <v>15</v>
      </c>
      <c r="Q332" s="54">
        <v>12</v>
      </c>
      <c r="R332" s="54">
        <v>300</v>
      </c>
      <c r="S332" s="54" t="s">
        <v>1711</v>
      </c>
      <c r="T332" s="54"/>
      <c r="U332" s="54" t="s">
        <v>1707</v>
      </c>
      <c r="V332" s="54" t="s">
        <v>1712</v>
      </c>
      <c r="W332" s="54" t="b">
        <v>0</v>
      </c>
      <c r="X332" s="54"/>
      <c r="Y332" s="57" t="s">
        <v>2191</v>
      </c>
      <c r="Z332" s="54" t="s">
        <v>1713</v>
      </c>
      <c r="AA332" s="54"/>
      <c r="AB332" s="54" t="s">
        <v>1714</v>
      </c>
      <c r="AC332" s="56" t="b">
        <v>1</v>
      </c>
      <c r="AD332" s="56" t="b">
        <v>0</v>
      </c>
      <c r="AE332" s="54" t="s">
        <v>303</v>
      </c>
      <c r="AF332" s="58">
        <v>46233</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5.0099999999999999E-2</v>
      </c>
      <c r="BC332" s="60">
        <v>4.9000000000000004</v>
      </c>
      <c r="BD332" s="61">
        <v>5.1461E-2</v>
      </c>
      <c r="BE332" s="62" t="s">
        <v>293</v>
      </c>
      <c r="BF332" s="35">
        <f t="shared" si="728"/>
        <v>4.9000000000000004</v>
      </c>
      <c r="BG332" s="35">
        <f t="shared" si="728"/>
        <v>5.1461E-2</v>
      </c>
      <c r="BH332" s="35" t="str">
        <f t="shared" si="717"/>
        <v>Low</v>
      </c>
      <c r="BI332" s="110">
        <f t="shared" si="718"/>
        <v>0</v>
      </c>
      <c r="BJ332" s="83">
        <f>VLOOKUP($F332,REP_Info!$D$6:$H$250,5,FALSE)</f>
        <v>8.1270000000000007</v>
      </c>
      <c r="BK332" s="30">
        <f t="shared" si="719"/>
        <v>11.136100000000001</v>
      </c>
      <c r="BL332" s="30">
        <f t="shared" si="719"/>
        <v>10.646100000000001</v>
      </c>
      <c r="BM332" s="30">
        <f t="shared" si="719"/>
        <v>10.4011</v>
      </c>
      <c r="BN332" s="29">
        <f t="shared" si="719"/>
        <v>10.319433333333333</v>
      </c>
      <c r="BO332" s="85" t="str">
        <f t="shared" si="2"/>
        <v>$$$</v>
      </c>
      <c r="BP332" s="88" t="str">
        <f t="shared" si="720"/>
        <v>$$$</v>
      </c>
      <c r="BQ332" s="88" t="str">
        <f t="shared" ref="BQ332" si="729">IFERROR(SUMPRODUCT($BS$7:$CD$7,$BS332:$CD332,--($BS$4:$CD$4&lt;=$Q332))/SUMPRODUCT(--($BS$4:$CD$4&lt;=$Q332),$BS$7:$CD$7),"$$$")</f>
        <v>$$$</v>
      </c>
      <c r="BR332" s="88" t="str">
        <f t="shared" ref="BR332" si="730">IFERROR($BQ332-$BF332*100*SUMPRODUCT(--($BS$4:$CD$4&lt;=$Q332))/SUMPRODUCT(--($BS$4:$CD$4&lt;=$Q332),$BS$7:$CD$7)-$BG332*100,"$$$")</f>
        <v>$$$</v>
      </c>
      <c r="BS332" s="29" t="e">
        <f t="shared" si="721"/>
        <v>#N/A</v>
      </c>
      <c r="BT332" s="29" t="e">
        <f t="shared" si="721"/>
        <v>#N/A</v>
      </c>
      <c r="BU332" s="29" t="e">
        <f t="shared" si="721"/>
        <v>#N/A</v>
      </c>
      <c r="BV332" s="29" t="e">
        <f t="shared" si="721"/>
        <v>#N/A</v>
      </c>
      <c r="BW332" s="29" t="e">
        <f t="shared" si="721"/>
        <v>#N/A</v>
      </c>
      <c r="BX332" s="29" t="e">
        <f t="shared" si="721"/>
        <v>#N/A</v>
      </c>
      <c r="BY332" s="29" t="e">
        <f t="shared" si="721"/>
        <v>#N/A</v>
      </c>
      <c r="BZ332" s="29" t="e">
        <f t="shared" si="721"/>
        <v>#N/A</v>
      </c>
      <c r="CA332" s="29" t="e">
        <f t="shared" si="721"/>
        <v>#N/A</v>
      </c>
      <c r="CB332" s="29" t="e">
        <f t="shared" si="721"/>
        <v>#N/A</v>
      </c>
      <c r="CC332" s="29" t="e">
        <f t="shared" si="721"/>
        <v>#N/A</v>
      </c>
      <c r="CD332" s="29" t="e">
        <f t="shared" si="721"/>
        <v>#N/A</v>
      </c>
      <c r="CE332" s="6" t="str">
        <f t="shared" si="616"/>
        <v/>
      </c>
      <c r="CF332" s="27" t="e">
        <f>IF(AND(CI332,NOT(AD332)),LOOKUP(CF$5,{0,750,1500},H332:J332),"")</f>
        <v>#N/A</v>
      </c>
      <c r="CG332" s="6" t="str">
        <f t="shared" si="617"/>
        <v/>
      </c>
      <c r="CH332" t="e">
        <f t="shared" si="722"/>
        <v>#N/A</v>
      </c>
      <c r="CI332" t="e">
        <f t="shared" si="723"/>
        <v>#N/A</v>
      </c>
      <c r="CJ332" s="6" t="e">
        <f t="shared" si="11"/>
        <v>#N/A</v>
      </c>
      <c r="CK332" s="6">
        <f t="shared" si="12"/>
        <v>1</v>
      </c>
      <c r="CL332" s="6">
        <f t="shared" si="26"/>
        <v>1</v>
      </c>
      <c r="CM332" s="6">
        <f t="shared" si="13"/>
        <v>1</v>
      </c>
      <c r="CN332" s="6">
        <f t="shared" si="14"/>
        <v>1</v>
      </c>
      <c r="CO332" s="6">
        <f t="shared" si="15"/>
        <v>1</v>
      </c>
      <c r="CP332" s="6">
        <f t="shared" si="16"/>
        <v>1</v>
      </c>
      <c r="CQ332" s="6">
        <f t="shared" si="724"/>
        <v>1</v>
      </c>
      <c r="CR332" s="81" t="str">
        <f t="shared" si="17"/>
        <v/>
      </c>
      <c r="CS332">
        <f t="shared" si="725"/>
        <v>0</v>
      </c>
      <c r="CT332">
        <f t="shared" si="615"/>
        <v>300</v>
      </c>
      <c r="CU332" t="str">
        <f t="shared" si="29"/>
        <v/>
      </c>
      <c r="CV332" s="81">
        <f t="shared" si="726"/>
        <v>300</v>
      </c>
      <c r="CW332" s="81">
        <f>(CV332/25)^1.5*(Calculator!$BU$4/10000)*CW$5</f>
        <v>107.33613078068259</v>
      </c>
      <c r="CX332" t="str">
        <f t="shared" si="727"/>
        <v>$300</v>
      </c>
    </row>
    <row r="333" spans="2:102" x14ac:dyDescent="0.25">
      <c r="B333" s="115" t="s">
        <v>233</v>
      </c>
      <c r="C333" s="13">
        <v>46236.341666666667</v>
      </c>
      <c r="D333">
        <v>37053</v>
      </c>
      <c r="E333" s="54" t="s">
        <v>235</v>
      </c>
      <c r="F333" s="54" t="s">
        <v>787</v>
      </c>
      <c r="G333" s="54" t="s">
        <v>1710</v>
      </c>
      <c r="H333" s="55">
        <v>11.600000000000001</v>
      </c>
      <c r="I333" s="55">
        <v>11.1</v>
      </c>
      <c r="J333" s="55">
        <v>10.9</v>
      </c>
      <c r="K333" s="54"/>
      <c r="L333" s="56" t="b">
        <v>0</v>
      </c>
      <c r="M333" s="56" t="b">
        <v>0</v>
      </c>
      <c r="N333" s="54">
        <v>1</v>
      </c>
      <c r="O333" s="54" t="s">
        <v>228</v>
      </c>
      <c r="P333" s="54">
        <v>15</v>
      </c>
      <c r="Q333" s="54">
        <v>24</v>
      </c>
      <c r="R333" s="54">
        <v>300</v>
      </c>
      <c r="S333" s="54" t="s">
        <v>1711</v>
      </c>
      <c r="T333" s="54"/>
      <c r="U333" s="54" t="s">
        <v>1707</v>
      </c>
      <c r="V333" s="54" t="s">
        <v>1712</v>
      </c>
      <c r="W333" s="54" t="b">
        <v>0</v>
      </c>
      <c r="X333" s="54"/>
      <c r="Y333" s="57" t="s">
        <v>2192</v>
      </c>
      <c r="Z333" s="54" t="s">
        <v>1713</v>
      </c>
      <c r="AA333" s="54"/>
      <c r="AB333" s="54" t="s">
        <v>1714</v>
      </c>
      <c r="AC333" s="56" t="b">
        <v>1</v>
      </c>
      <c r="AD333" s="56" t="b">
        <v>0</v>
      </c>
      <c r="AE333" s="54" t="s">
        <v>303</v>
      </c>
      <c r="AF333" s="58">
        <v>46233</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5.5100000000000003E-2</v>
      </c>
      <c r="BC333" s="60">
        <v>4.9000000000000004</v>
      </c>
      <c r="BD333" s="61">
        <v>5.1461E-2</v>
      </c>
      <c r="BE333" s="62" t="s">
        <v>293</v>
      </c>
      <c r="BF333" s="35">
        <f t="shared" si="0"/>
        <v>4.9000000000000004</v>
      </c>
      <c r="BG333" s="35">
        <f t="shared" si="0"/>
        <v>5.1461E-2</v>
      </c>
      <c r="BH333" s="35" t="str">
        <f t="shared" ref="BH333:BH334" si="731">IF(ISTEXT(BE333),IF(AND(AV333=0,SUM(AN333:AQ333)=0),IF(AM333&lt;=0,IF(BE333="Y","Low","Flat"),"Med"),"High"),"?")</f>
        <v>Low</v>
      </c>
      <c r="BI333" s="110">
        <f t="shared" ref="BI333:BI334" si="732">IF(ISNUMBER(AH333),0*BI$5*SIN((EDATE($A$3,$Q333)-DATE(YEAR(EDATE($A$3,$Q333)),1,0)-BI$4)*2*PI()/365),"")</f>
        <v>0</v>
      </c>
      <c r="BJ333" s="83">
        <f>VLOOKUP($F333,REP_Info!$D$6:$H$250,5,FALSE)</f>
        <v>8.1270000000000007</v>
      </c>
      <c r="BK333" s="30">
        <f t="shared" ref="BK333:BN334" si="733">IF(BK$7&gt;0,(LOOKUP(BK$7,$AH333:$AL333,$AM333:$AQ333)+IF($AG333="Y",SUMPRODUCT($AX333:$BB333-$AW333:$BA333,BK$7-$AR333:$AV333,N(BK$7&gt;$AR333:$AV333)),BK$7*LOOKUP(BK$7,$AR333:$AV333,$AX333:$BB333))+IF($BE333="Y",$BF333,$BC333)+BK$7*IF($BE333="Y",$BG333,$BD333))*100/BK$7,"")</f>
        <v>11.636100000000001</v>
      </c>
      <c r="BL333" s="30">
        <f t="shared" si="733"/>
        <v>11.146100000000001</v>
      </c>
      <c r="BM333" s="30">
        <f t="shared" si="733"/>
        <v>10.9011</v>
      </c>
      <c r="BN333" s="29">
        <f t="shared" si="733"/>
        <v>10.819433333333334</v>
      </c>
      <c r="BO333" s="85" t="str">
        <f t="shared" si="2"/>
        <v>$$$</v>
      </c>
      <c r="BP333" s="88" t="str">
        <f t="shared" ref="BP333:BP334" si="734">IFERROR(BO333*100/BO$5,"$$$")</f>
        <v>$$$</v>
      </c>
      <c r="BQ333" s="88" t="str">
        <f t="shared" si="4"/>
        <v>$$$</v>
      </c>
      <c r="BR333" s="88" t="str">
        <f t="shared" si="5"/>
        <v>$$$</v>
      </c>
      <c r="BS333" s="29" t="e">
        <f t="shared" ref="BS333:CD334" si="735">IF($CI333,IF(BS$7&gt;0,IF(BS$4&gt;$Q333,$BF333+BS$7*(BS$5+$BG333+$BI333),LOOKUP(BS$7,$AH333:$AL333,$AM333:$AQ333)+IF($AG333="Y",SUMPRODUCT($AX333:$BB333-$AW333:$BA333,BS$7-$AR333:$AV333,N(BS$7&gt;$AR333:$AV333)),BS$7*LOOKUP(BS$7,$AR333:$AV333,$AX333:$BB333))+IF($BE333="Y",$BF333,$BC333)+BS$7*IF($BE333="Y",$BG333,$BD333))*100/BS$7,""),NA())</f>
        <v>#N/A</v>
      </c>
      <c r="BT333" s="29" t="e">
        <f t="shared" si="735"/>
        <v>#N/A</v>
      </c>
      <c r="BU333" s="29" t="e">
        <f t="shared" si="735"/>
        <v>#N/A</v>
      </c>
      <c r="BV333" s="29" t="e">
        <f t="shared" si="735"/>
        <v>#N/A</v>
      </c>
      <c r="BW333" s="29" t="e">
        <f t="shared" si="735"/>
        <v>#N/A</v>
      </c>
      <c r="BX333" s="29" t="e">
        <f t="shared" si="735"/>
        <v>#N/A</v>
      </c>
      <c r="BY333" s="29" t="e">
        <f t="shared" si="735"/>
        <v>#N/A</v>
      </c>
      <c r="BZ333" s="29" t="e">
        <f t="shared" si="735"/>
        <v>#N/A</v>
      </c>
      <c r="CA333" s="29" t="e">
        <f t="shared" si="735"/>
        <v>#N/A</v>
      </c>
      <c r="CB333" s="29" t="e">
        <f t="shared" si="735"/>
        <v>#N/A</v>
      </c>
      <c r="CC333" s="29" t="e">
        <f t="shared" si="735"/>
        <v>#N/A</v>
      </c>
      <c r="CD333" s="29" t="e">
        <f t="shared" si="735"/>
        <v>#N/A</v>
      </c>
      <c r="CE333" s="6" t="str">
        <f t="shared" si="616"/>
        <v/>
      </c>
      <c r="CF333" s="27" t="e">
        <f>IF(AND(CI333,NOT(AD333)),LOOKUP(CF$5,{0,750,1500},H333:J333),"")</f>
        <v>#N/A</v>
      </c>
      <c r="CG333" s="6" t="str">
        <f t="shared" si="617"/>
        <v/>
      </c>
      <c r="CH333" t="e">
        <f t="shared" ref="CH333:CH334" si="736">IF(CI333,IF(ISNUMBER(BO333),BO333,100000)+CV333/10000+IF(ISNUMBER(BJ333),BJ333,2)/10000-P333/100000+ROW()/10000000,"")</f>
        <v>#N/A</v>
      </c>
      <c r="CI333" t="e">
        <f t="shared" ref="CI333:CI334" si="737">PRODUCT(CJ333:CQ333)</f>
        <v>#N/A</v>
      </c>
      <c r="CJ333" s="6" t="e">
        <f t="shared" si="11"/>
        <v>#N/A</v>
      </c>
      <c r="CK333" s="6">
        <f t="shared" si="12"/>
        <v>1</v>
      </c>
      <c r="CL333" s="6">
        <f t="shared" si="26"/>
        <v>1</v>
      </c>
      <c r="CM333" s="6">
        <f t="shared" si="13"/>
        <v>1</v>
      </c>
      <c r="CN333" s="6">
        <f t="shared" si="14"/>
        <v>1</v>
      </c>
      <c r="CO333" s="6">
        <f t="shared" si="15"/>
        <v>0</v>
      </c>
      <c r="CP333" s="6">
        <f t="shared" si="16"/>
        <v>1</v>
      </c>
      <c r="CQ333" s="6">
        <f t="shared" ref="CQ333:CQ334" si="738">IF(CQ$5="Any",1,IF(AND(CQ$5="Med",AV333=0,SUM(AN333:AQ333)=0),1,IF(AND(CQ$5="Low",AV333=0,SUM(AN333:AQ333)=0,AM333=0),1,IF(AND(CQ$5="Flat",AV333=0,SUM(AN333:AQ333)=0,AM333=0,IFERROR(NOT(BE333="Y"),0)),1,0))))</f>
        <v>1</v>
      </c>
      <c r="CR333" s="81" t="str">
        <f t="shared" si="17"/>
        <v/>
      </c>
      <c r="CS333">
        <f t="shared" ref="CS333:CS334" si="739">CS$5*(12/(MIN(12,Q333))-1)</f>
        <v>0</v>
      </c>
      <c r="CT333">
        <f t="shared" si="615"/>
        <v>300</v>
      </c>
      <c r="CU333" t="str">
        <f t="shared" si="29"/>
        <v/>
      </c>
      <c r="CV333" s="81">
        <f t="shared" ref="CV333:CV334" si="740">CT333*IF(CU333="",1,Q333)</f>
        <v>300</v>
      </c>
      <c r="CW333" s="81">
        <f>(CV333/25)^1.5*(Calculator!$BU$4/10000)*CW$5</f>
        <v>107.33613078068259</v>
      </c>
      <c r="CX333" t="str">
        <f t="shared" ref="CX333:CX334" si="741">"$"&amp;IF(LEFT(CU333,1)="r",CT333&amp;"/"&amp;CU333,CV333)</f>
        <v>$300</v>
      </c>
    </row>
    <row r="334" spans="2:102" x14ac:dyDescent="0.25">
      <c r="B334" s="115" t="s">
        <v>233</v>
      </c>
      <c r="C334" s="13">
        <v>46236.341666666667</v>
      </c>
      <c r="D334">
        <v>37055</v>
      </c>
      <c r="E334" s="54" t="s">
        <v>235</v>
      </c>
      <c r="F334" s="54" t="s">
        <v>787</v>
      </c>
      <c r="G334" s="54" t="s">
        <v>1716</v>
      </c>
      <c r="H334" s="55">
        <v>11.899999999999999</v>
      </c>
      <c r="I334" s="55">
        <v>11.4</v>
      </c>
      <c r="J334" s="55">
        <v>11.200000000000001</v>
      </c>
      <c r="K334" s="54"/>
      <c r="L334" s="56" t="b">
        <v>0</v>
      </c>
      <c r="M334" s="56" t="b">
        <v>0</v>
      </c>
      <c r="N334" s="54">
        <v>1</v>
      </c>
      <c r="O334" s="54" t="s">
        <v>228</v>
      </c>
      <c r="P334" s="54">
        <v>15</v>
      </c>
      <c r="Q334" s="54">
        <v>36</v>
      </c>
      <c r="R334" s="54">
        <v>300</v>
      </c>
      <c r="S334" s="54" t="s">
        <v>1711</v>
      </c>
      <c r="T334" s="54"/>
      <c r="U334" s="54" t="s">
        <v>1707</v>
      </c>
      <c r="V334" s="54" t="s">
        <v>1712</v>
      </c>
      <c r="W334" s="54" t="b">
        <v>0</v>
      </c>
      <c r="X334" s="54"/>
      <c r="Y334" s="57" t="s">
        <v>2193</v>
      </c>
      <c r="Z334" s="54" t="s">
        <v>1713</v>
      </c>
      <c r="AA334" s="54"/>
      <c r="AB334" s="54" t="s">
        <v>1714</v>
      </c>
      <c r="AC334" s="56" t="b">
        <v>1</v>
      </c>
      <c r="AD334" s="56" t="b">
        <v>0</v>
      </c>
      <c r="AE334" s="54" t="s">
        <v>303</v>
      </c>
      <c r="AF334" s="58">
        <v>46233</v>
      </c>
      <c r="AG334" s="62" t="s">
        <v>293</v>
      </c>
      <c r="AH334" s="54">
        <v>0</v>
      </c>
      <c r="AI334" s="54"/>
      <c r="AJ334" s="54"/>
      <c r="AK334" s="54"/>
      <c r="AL334" s="54"/>
      <c r="AM334" s="54">
        <v>0</v>
      </c>
      <c r="AN334" s="54"/>
      <c r="AO334" s="54"/>
      <c r="AP334" s="54"/>
      <c r="AQ334" s="54"/>
      <c r="AR334" s="54"/>
      <c r="AS334" s="54"/>
      <c r="AT334" s="54"/>
      <c r="AU334" s="54"/>
      <c r="AV334" s="54"/>
      <c r="AW334" s="54"/>
      <c r="AX334" s="59"/>
      <c r="AY334" s="59"/>
      <c r="AZ334" s="59"/>
      <c r="BA334" s="59"/>
      <c r="BB334" s="59">
        <v>5.8099999999999999E-2</v>
      </c>
      <c r="BC334" s="60">
        <v>4.9000000000000004</v>
      </c>
      <c r="BD334" s="61">
        <v>5.1461E-2</v>
      </c>
      <c r="BE334" s="62" t="s">
        <v>293</v>
      </c>
      <c r="BF334" s="35">
        <f t="shared" si="0"/>
        <v>4.9000000000000004</v>
      </c>
      <c r="BG334" s="35">
        <f t="shared" si="0"/>
        <v>5.1461E-2</v>
      </c>
      <c r="BH334" s="35" t="str">
        <f t="shared" si="731"/>
        <v>Low</v>
      </c>
      <c r="BI334" s="110">
        <f t="shared" si="732"/>
        <v>0</v>
      </c>
      <c r="BJ334" s="83">
        <f>VLOOKUP($F334,REP_Info!$D$6:$H$250,5,FALSE)</f>
        <v>8.1270000000000007</v>
      </c>
      <c r="BK334" s="30">
        <f t="shared" si="733"/>
        <v>11.9361</v>
      </c>
      <c r="BL334" s="30">
        <f t="shared" si="733"/>
        <v>11.446099999999999</v>
      </c>
      <c r="BM334" s="30">
        <f t="shared" si="733"/>
        <v>11.2011</v>
      </c>
      <c r="BN334" s="29">
        <f t="shared" si="733"/>
        <v>11.119433333333332</v>
      </c>
      <c r="BO334" s="85" t="str">
        <f t="shared" si="2"/>
        <v>$$$</v>
      </c>
      <c r="BP334" s="88" t="str">
        <f t="shared" si="734"/>
        <v>$$$</v>
      </c>
      <c r="BQ334" s="88" t="str">
        <f t="shared" si="4"/>
        <v>$$$</v>
      </c>
      <c r="BR334" s="88" t="str">
        <f t="shared" si="5"/>
        <v>$$$</v>
      </c>
      <c r="BS334" s="29" t="e">
        <f t="shared" si="735"/>
        <v>#N/A</v>
      </c>
      <c r="BT334" s="29" t="e">
        <f t="shared" si="735"/>
        <v>#N/A</v>
      </c>
      <c r="BU334" s="29" t="e">
        <f t="shared" si="735"/>
        <v>#N/A</v>
      </c>
      <c r="BV334" s="29" t="e">
        <f t="shared" si="735"/>
        <v>#N/A</v>
      </c>
      <c r="BW334" s="29" t="e">
        <f t="shared" si="735"/>
        <v>#N/A</v>
      </c>
      <c r="BX334" s="29" t="e">
        <f t="shared" si="735"/>
        <v>#N/A</v>
      </c>
      <c r="BY334" s="29" t="e">
        <f t="shared" si="735"/>
        <v>#N/A</v>
      </c>
      <c r="BZ334" s="29" t="e">
        <f t="shared" si="735"/>
        <v>#N/A</v>
      </c>
      <c r="CA334" s="29" t="e">
        <f t="shared" si="735"/>
        <v>#N/A</v>
      </c>
      <c r="CB334" s="29" t="e">
        <f t="shared" si="735"/>
        <v>#N/A</v>
      </c>
      <c r="CC334" s="29" t="e">
        <f t="shared" si="735"/>
        <v>#N/A</v>
      </c>
      <c r="CD334" s="29" t="e">
        <f t="shared" si="735"/>
        <v>#N/A</v>
      </c>
      <c r="CE334" s="6" t="str">
        <f t="shared" si="616"/>
        <v/>
      </c>
      <c r="CF334" s="27" t="e">
        <f>IF(AND(CI334,NOT(AD334)),LOOKUP(CF$5,{0,750,1500},H334:J334),"")</f>
        <v>#N/A</v>
      </c>
      <c r="CG334" s="6" t="str">
        <f t="shared" si="617"/>
        <v/>
      </c>
      <c r="CH334" t="e">
        <f t="shared" si="736"/>
        <v>#N/A</v>
      </c>
      <c r="CI334" t="e">
        <f t="shared" si="737"/>
        <v>#N/A</v>
      </c>
      <c r="CJ334" s="6" t="e">
        <f t="shared" si="11"/>
        <v>#N/A</v>
      </c>
      <c r="CK334" s="6">
        <f t="shared" si="12"/>
        <v>1</v>
      </c>
      <c r="CL334" s="6">
        <f t="shared" si="26"/>
        <v>1</v>
      </c>
      <c r="CM334" s="6">
        <f t="shared" si="13"/>
        <v>1</v>
      </c>
      <c r="CN334" s="6">
        <f t="shared" si="14"/>
        <v>1</v>
      </c>
      <c r="CO334" s="6">
        <f t="shared" si="15"/>
        <v>0</v>
      </c>
      <c r="CP334" s="6">
        <f t="shared" si="16"/>
        <v>1</v>
      </c>
      <c r="CQ334" s="6">
        <f t="shared" si="738"/>
        <v>1</v>
      </c>
      <c r="CR334" s="81" t="str">
        <f t="shared" si="17"/>
        <v/>
      </c>
      <c r="CS334">
        <f t="shared" si="739"/>
        <v>0</v>
      </c>
      <c r="CT334">
        <f t="shared" si="615"/>
        <v>300</v>
      </c>
      <c r="CU334" t="str">
        <f t="shared" si="29"/>
        <v/>
      </c>
      <c r="CV334" s="81">
        <f t="shared" si="740"/>
        <v>300</v>
      </c>
      <c r="CW334" s="81">
        <f>(CV334/25)^1.5*(Calculator!$BU$4/10000)*CW$5</f>
        <v>107.33613078068259</v>
      </c>
      <c r="CX334" t="str">
        <f t="shared" si="741"/>
        <v>$300</v>
      </c>
    </row>
    <row r="335" spans="2:102" x14ac:dyDescent="0.25">
      <c r="B335" s="115" t="s">
        <v>233</v>
      </c>
      <c r="C335" s="13">
        <v>46236.341666666667</v>
      </c>
      <c r="D335">
        <v>37059</v>
      </c>
      <c r="E335" s="54" t="s">
        <v>237</v>
      </c>
      <c r="F335" s="54" t="s">
        <v>787</v>
      </c>
      <c r="G335" s="54" t="s">
        <v>1710</v>
      </c>
      <c r="H335" s="55">
        <v>12.7</v>
      </c>
      <c r="I335" s="55">
        <v>12.3</v>
      </c>
      <c r="J335" s="55">
        <v>12.1</v>
      </c>
      <c r="K335" s="54"/>
      <c r="L335" s="56" t="b">
        <v>0</v>
      </c>
      <c r="M335" s="56" t="b">
        <v>0</v>
      </c>
      <c r="N335" s="54">
        <v>1</v>
      </c>
      <c r="O335" s="54" t="s">
        <v>228</v>
      </c>
      <c r="P335" s="54">
        <v>15</v>
      </c>
      <c r="Q335" s="54">
        <v>24</v>
      </c>
      <c r="R335" s="54">
        <v>300</v>
      </c>
      <c r="S335" s="54" t="s">
        <v>1711</v>
      </c>
      <c r="T335" s="54"/>
      <c r="U335" s="54" t="s">
        <v>1707</v>
      </c>
      <c r="V335" s="54" t="s">
        <v>1712</v>
      </c>
      <c r="W335" s="54" t="b">
        <v>0</v>
      </c>
      <c r="X335" s="54"/>
      <c r="Y335" s="57" t="s">
        <v>2194</v>
      </c>
      <c r="Z335" s="54" t="s">
        <v>1713</v>
      </c>
      <c r="AA335" s="54"/>
      <c r="AB335" s="54" t="s">
        <v>1714</v>
      </c>
      <c r="AC335" s="56" t="b">
        <v>1</v>
      </c>
      <c r="AD335" s="56" t="b">
        <v>0</v>
      </c>
      <c r="AE335" s="54" t="s">
        <v>303</v>
      </c>
      <c r="AF335" s="58">
        <v>46233</v>
      </c>
      <c r="AG335" s="62" t="s">
        <v>293</v>
      </c>
      <c r="AH335" s="54">
        <v>0</v>
      </c>
      <c r="AI335" s="54"/>
      <c r="AJ335" s="54"/>
      <c r="AK335" s="54"/>
      <c r="AL335" s="54"/>
      <c r="AM335" s="54">
        <v>0</v>
      </c>
      <c r="AN335" s="54"/>
      <c r="AO335" s="54"/>
      <c r="AP335" s="54"/>
      <c r="AQ335" s="54"/>
      <c r="AR335" s="54"/>
      <c r="AS335" s="54"/>
      <c r="AT335" s="54"/>
      <c r="AU335" s="54"/>
      <c r="AV335" s="54"/>
      <c r="AW335" s="54"/>
      <c r="AX335" s="59"/>
      <c r="AY335" s="59"/>
      <c r="AZ335" s="59"/>
      <c r="BA335" s="59"/>
      <c r="BB335" s="59">
        <v>5.8099999999999999E-2</v>
      </c>
      <c r="BC335" s="60">
        <v>4.0599999999999996</v>
      </c>
      <c r="BD335" s="61">
        <v>6.1196E-2</v>
      </c>
      <c r="BE335" s="62" t="s">
        <v>293</v>
      </c>
      <c r="BF335" s="35">
        <f t="shared" si="0"/>
        <v>4.0600000000000005</v>
      </c>
      <c r="BG335" s="35">
        <f t="shared" si="0"/>
        <v>6.0295000000000001E-2</v>
      </c>
      <c r="BH335" s="35" t="str">
        <f t="shared" ref="BH335:BH336" si="742">IF(ISTEXT(BE335),IF(AND(AV335=0,SUM(AN335:AQ335)=0),IF(AM335&lt;=0,IF(BE335="Y","Low","Flat"),"Med"),"High"),"?")</f>
        <v>Low</v>
      </c>
      <c r="BI335" s="110">
        <f t="shared" ref="BI335:BI336" si="743">IF(ISNUMBER(AH335),0*BI$5*SIN((EDATE($A$3,$Q335)-DATE(YEAR(EDATE($A$3,$Q335)),1,0)-BI$4)*2*PI()/365),"")</f>
        <v>0</v>
      </c>
      <c r="BJ335" s="83">
        <f>VLOOKUP($F335,REP_Info!$D$6:$H$250,5,FALSE)</f>
        <v>8.1270000000000007</v>
      </c>
      <c r="BK335" s="30">
        <f t="shared" ref="BK335:BN336" si="744">IF(BK$7&gt;0,(LOOKUP(BK$7,$AH335:$AL335,$AM335:$AQ335)+IF($AG335="Y",SUMPRODUCT($AX335:$BB335-$AW335:$BA335,BK$7-$AR335:$AV335,N(BK$7&gt;$AR335:$AV335)),BK$7*LOOKUP(BK$7,$AR335:$AV335,$AX335:$BB335))+IF($BE335="Y",$BF335,$BC335)+BK$7*IF($BE335="Y",$BG335,$BD335))*100/BK$7,"")</f>
        <v>12.6515</v>
      </c>
      <c r="BL335" s="30">
        <f t="shared" si="744"/>
        <v>12.245500000000002</v>
      </c>
      <c r="BM335" s="30">
        <f t="shared" si="744"/>
        <v>12.042500000000002</v>
      </c>
      <c r="BN335" s="29">
        <f t="shared" si="744"/>
        <v>11.974833333333333</v>
      </c>
      <c r="BO335" s="85" t="str">
        <f t="shared" si="2"/>
        <v>$$$</v>
      </c>
      <c r="BP335" s="88" t="str">
        <f t="shared" ref="BP335:BP336" si="745">IFERROR(BO335*100/BO$5,"$$$")</f>
        <v>$$$</v>
      </c>
      <c r="BQ335" s="88" t="str">
        <f t="shared" si="4"/>
        <v>$$$</v>
      </c>
      <c r="BR335" s="88" t="str">
        <f t="shared" si="5"/>
        <v>$$$</v>
      </c>
      <c r="BS335" s="29" t="e">
        <f t="shared" ref="BS335:CD336" si="746">IF($CI335,IF(BS$7&gt;0,IF(BS$4&gt;$Q335,$BF335+BS$7*(BS$5+$BG335+$BI335),LOOKUP(BS$7,$AH335:$AL335,$AM335:$AQ335)+IF($AG335="Y",SUMPRODUCT($AX335:$BB335-$AW335:$BA335,BS$7-$AR335:$AV335,N(BS$7&gt;$AR335:$AV335)),BS$7*LOOKUP(BS$7,$AR335:$AV335,$AX335:$BB335))+IF($BE335="Y",$BF335,$BC335)+BS$7*IF($BE335="Y",$BG335,$BD335))*100/BS$7,""),NA())</f>
        <v>#N/A</v>
      </c>
      <c r="BT335" s="29" t="e">
        <f t="shared" si="746"/>
        <v>#N/A</v>
      </c>
      <c r="BU335" s="29" t="e">
        <f t="shared" si="746"/>
        <v>#N/A</v>
      </c>
      <c r="BV335" s="29" t="e">
        <f t="shared" si="746"/>
        <v>#N/A</v>
      </c>
      <c r="BW335" s="29" t="e">
        <f t="shared" si="746"/>
        <v>#N/A</v>
      </c>
      <c r="BX335" s="29" t="e">
        <f t="shared" si="746"/>
        <v>#N/A</v>
      </c>
      <c r="BY335" s="29" t="e">
        <f t="shared" si="746"/>
        <v>#N/A</v>
      </c>
      <c r="BZ335" s="29" t="e">
        <f t="shared" si="746"/>
        <v>#N/A</v>
      </c>
      <c r="CA335" s="29" t="e">
        <f t="shared" si="746"/>
        <v>#N/A</v>
      </c>
      <c r="CB335" s="29" t="e">
        <f t="shared" si="746"/>
        <v>#N/A</v>
      </c>
      <c r="CC335" s="29" t="e">
        <f t="shared" si="746"/>
        <v>#N/A</v>
      </c>
      <c r="CD335" s="29" t="e">
        <f t="shared" si="746"/>
        <v>#N/A</v>
      </c>
      <c r="CE335" s="6" t="str">
        <f t="shared" si="616"/>
        <v/>
      </c>
      <c r="CF335" s="27" t="e">
        <f>IF(AND(CI335,NOT(AD335)),LOOKUP(CF$5,{0,750,1500},H335:J335),"")</f>
        <v>#N/A</v>
      </c>
      <c r="CG335" s="6" t="str">
        <f t="shared" si="617"/>
        <v/>
      </c>
      <c r="CH335" t="e">
        <f t="shared" ref="CH335:CH336" si="747">IF(CI335,IF(ISNUMBER(BO335),BO335,100000)+CV335/10000+IF(ISNUMBER(BJ335),BJ335,2)/10000-P335/100000+ROW()/10000000,"")</f>
        <v>#N/A</v>
      </c>
      <c r="CI335" t="e">
        <f t="shared" ref="CI335:CI336" si="748">PRODUCT(CJ335:CQ335)</f>
        <v>#N/A</v>
      </c>
      <c r="CJ335" s="6" t="e">
        <f t="shared" si="11"/>
        <v>#N/A</v>
      </c>
      <c r="CK335" s="6">
        <f t="shared" si="12"/>
        <v>1</v>
      </c>
      <c r="CL335" s="6">
        <f t="shared" si="26"/>
        <v>1</v>
      </c>
      <c r="CM335" s="6">
        <f t="shared" si="13"/>
        <v>1</v>
      </c>
      <c r="CN335" s="6">
        <f t="shared" si="14"/>
        <v>1</v>
      </c>
      <c r="CO335" s="6">
        <f t="shared" si="15"/>
        <v>0</v>
      </c>
      <c r="CP335" s="6">
        <f t="shared" si="16"/>
        <v>1</v>
      </c>
      <c r="CQ335" s="6">
        <f t="shared" ref="CQ335:CQ336" si="749">IF(CQ$5="Any",1,IF(AND(CQ$5="Med",AV335=0,SUM(AN335:AQ335)=0),1,IF(AND(CQ$5="Low",AV335=0,SUM(AN335:AQ335)=0,AM335=0),1,IF(AND(CQ$5="Flat",AV335=0,SUM(AN335:AQ335)=0,AM335=0,IFERROR(NOT(BE335="Y"),0)),1,0))))</f>
        <v>1</v>
      </c>
      <c r="CR335" s="81" t="str">
        <f t="shared" si="17"/>
        <v/>
      </c>
      <c r="CS335">
        <f t="shared" ref="CS335:CS336" si="750">CS$5*(12/(MIN(12,Q335))-1)</f>
        <v>0</v>
      </c>
      <c r="CT335">
        <f t="shared" si="615"/>
        <v>300</v>
      </c>
      <c r="CU335" t="str">
        <f t="shared" si="29"/>
        <v/>
      </c>
      <c r="CV335" s="81">
        <f t="shared" ref="CV335:CV336" si="751">CT335*IF(CU335="",1,Q335)</f>
        <v>300</v>
      </c>
      <c r="CW335" s="81">
        <f>(CV335/25)^1.5*(Calculator!$BU$4/10000)*CW$5</f>
        <v>107.33613078068259</v>
      </c>
      <c r="CX335" t="str">
        <f t="shared" ref="CX335:CX336" si="752">"$"&amp;IF(LEFT(CU335,1)="r",CT335&amp;"/"&amp;CU335,CV335)</f>
        <v>$300</v>
      </c>
    </row>
    <row r="336" spans="2:102" x14ac:dyDescent="0.25">
      <c r="B336" s="115" t="s">
        <v>233</v>
      </c>
      <c r="C336" s="13">
        <v>46236.341666666667</v>
      </c>
      <c r="D336">
        <v>37089</v>
      </c>
      <c r="E336" s="54" t="s">
        <v>237</v>
      </c>
      <c r="F336" s="54" t="s">
        <v>787</v>
      </c>
      <c r="G336" s="54" t="s">
        <v>1716</v>
      </c>
      <c r="H336" s="55">
        <v>13.100000000000001</v>
      </c>
      <c r="I336" s="55">
        <v>12.6</v>
      </c>
      <c r="J336" s="55">
        <v>12.4</v>
      </c>
      <c r="K336" s="54"/>
      <c r="L336" s="56" t="b">
        <v>0</v>
      </c>
      <c r="M336" s="56" t="b">
        <v>0</v>
      </c>
      <c r="N336" s="54">
        <v>1</v>
      </c>
      <c r="O336" s="54" t="s">
        <v>228</v>
      </c>
      <c r="P336" s="54">
        <v>15</v>
      </c>
      <c r="Q336" s="54">
        <v>36</v>
      </c>
      <c r="R336" s="54">
        <v>300</v>
      </c>
      <c r="S336" s="54" t="s">
        <v>1711</v>
      </c>
      <c r="T336" s="54"/>
      <c r="U336" s="54" t="s">
        <v>1707</v>
      </c>
      <c r="V336" s="54" t="s">
        <v>1712</v>
      </c>
      <c r="W336" s="54" t="b">
        <v>0</v>
      </c>
      <c r="X336" s="54"/>
      <c r="Y336" s="57" t="s">
        <v>2195</v>
      </c>
      <c r="Z336" s="54" t="s">
        <v>1713</v>
      </c>
      <c r="AA336" s="54"/>
      <c r="AB336" s="54" t="s">
        <v>1714</v>
      </c>
      <c r="AC336" s="56" t="b">
        <v>1</v>
      </c>
      <c r="AD336" s="56" t="b">
        <v>0</v>
      </c>
      <c r="AE336" s="54" t="s">
        <v>303</v>
      </c>
      <c r="AF336" s="58">
        <v>46233</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6.1199999999999997E-2</v>
      </c>
      <c r="BC336" s="60">
        <v>4.0599999999999996</v>
      </c>
      <c r="BD336" s="61">
        <v>6.1196E-2</v>
      </c>
      <c r="BE336" s="62" t="s">
        <v>293</v>
      </c>
      <c r="BF336" s="35">
        <f t="shared" si="0"/>
        <v>4.0600000000000005</v>
      </c>
      <c r="BG336" s="35">
        <f t="shared" si="0"/>
        <v>6.0295000000000001E-2</v>
      </c>
      <c r="BH336" s="35" t="str">
        <f t="shared" si="742"/>
        <v>Low</v>
      </c>
      <c r="BI336" s="110">
        <f t="shared" si="743"/>
        <v>0</v>
      </c>
      <c r="BJ336" s="83">
        <f>VLOOKUP($F336,REP_Info!$D$6:$H$250,5,FALSE)</f>
        <v>8.1270000000000007</v>
      </c>
      <c r="BK336" s="30">
        <f t="shared" si="744"/>
        <v>12.961499999999999</v>
      </c>
      <c r="BL336" s="30">
        <f t="shared" si="744"/>
        <v>12.5555</v>
      </c>
      <c r="BM336" s="30">
        <f t="shared" si="744"/>
        <v>12.352499999999999</v>
      </c>
      <c r="BN336" s="29">
        <f t="shared" si="744"/>
        <v>12.284833333333331</v>
      </c>
      <c r="BO336" s="85" t="str">
        <f t="shared" si="2"/>
        <v>$$$</v>
      </c>
      <c r="BP336" s="88" t="str">
        <f t="shared" si="745"/>
        <v>$$$</v>
      </c>
      <c r="BQ336" s="88" t="str">
        <f t="shared" si="4"/>
        <v>$$$</v>
      </c>
      <c r="BR336" s="88" t="str">
        <f t="shared" si="5"/>
        <v>$$$</v>
      </c>
      <c r="BS336" s="29" t="e">
        <f t="shared" si="746"/>
        <v>#N/A</v>
      </c>
      <c r="BT336" s="29" t="e">
        <f t="shared" si="746"/>
        <v>#N/A</v>
      </c>
      <c r="BU336" s="29" t="e">
        <f t="shared" si="746"/>
        <v>#N/A</v>
      </c>
      <c r="BV336" s="29" t="e">
        <f t="shared" si="746"/>
        <v>#N/A</v>
      </c>
      <c r="BW336" s="29" t="e">
        <f t="shared" si="746"/>
        <v>#N/A</v>
      </c>
      <c r="BX336" s="29" t="e">
        <f t="shared" si="746"/>
        <v>#N/A</v>
      </c>
      <c r="BY336" s="29" t="e">
        <f t="shared" si="746"/>
        <v>#N/A</v>
      </c>
      <c r="BZ336" s="29" t="e">
        <f t="shared" si="746"/>
        <v>#N/A</v>
      </c>
      <c r="CA336" s="29" t="e">
        <f t="shared" si="746"/>
        <v>#N/A</v>
      </c>
      <c r="CB336" s="29" t="e">
        <f t="shared" si="746"/>
        <v>#N/A</v>
      </c>
      <c r="CC336" s="29" t="e">
        <f t="shared" si="746"/>
        <v>#N/A</v>
      </c>
      <c r="CD336" s="29" t="e">
        <f t="shared" si="746"/>
        <v>#N/A</v>
      </c>
      <c r="CE336" s="6" t="str">
        <f t="shared" si="616"/>
        <v/>
      </c>
      <c r="CF336" s="27" t="e">
        <f>IF(AND(CI336,NOT(AD336)),LOOKUP(CF$5,{0,750,1500},H336:J336),"")</f>
        <v>#N/A</v>
      </c>
      <c r="CG336" s="6" t="str">
        <f t="shared" si="617"/>
        <v/>
      </c>
      <c r="CH336" t="e">
        <f t="shared" si="747"/>
        <v>#N/A</v>
      </c>
      <c r="CI336" t="e">
        <f t="shared" si="748"/>
        <v>#N/A</v>
      </c>
      <c r="CJ336" s="6" t="e">
        <f t="shared" si="11"/>
        <v>#N/A</v>
      </c>
      <c r="CK336" s="6">
        <f t="shared" si="12"/>
        <v>1</v>
      </c>
      <c r="CL336" s="6">
        <f t="shared" si="26"/>
        <v>1</v>
      </c>
      <c r="CM336" s="6">
        <f t="shared" si="13"/>
        <v>1</v>
      </c>
      <c r="CN336" s="6">
        <f t="shared" si="14"/>
        <v>1</v>
      </c>
      <c r="CO336" s="6">
        <f t="shared" si="15"/>
        <v>0</v>
      </c>
      <c r="CP336" s="6">
        <f t="shared" si="16"/>
        <v>1</v>
      </c>
      <c r="CQ336" s="6">
        <f t="shared" si="749"/>
        <v>1</v>
      </c>
      <c r="CR336" s="81" t="str">
        <f t="shared" si="17"/>
        <v/>
      </c>
      <c r="CS336">
        <f t="shared" si="750"/>
        <v>0</v>
      </c>
      <c r="CT336">
        <f t="shared" si="615"/>
        <v>300</v>
      </c>
      <c r="CU336" t="str">
        <f t="shared" si="29"/>
        <v/>
      </c>
      <c r="CV336" s="81">
        <f t="shared" si="751"/>
        <v>300</v>
      </c>
      <c r="CW336" s="81">
        <f>(CV336/25)^1.5*(Calculator!$BU$4/10000)*CW$5</f>
        <v>107.33613078068259</v>
      </c>
      <c r="CX336" t="str">
        <f t="shared" si="752"/>
        <v>$300</v>
      </c>
    </row>
    <row r="337" spans="2:102" x14ac:dyDescent="0.25">
      <c r="B337" s="115" t="s">
        <v>233</v>
      </c>
      <c r="C337" s="13">
        <v>46236.341666666667</v>
      </c>
      <c r="D337">
        <v>37114</v>
      </c>
      <c r="E337" s="54" t="s">
        <v>235</v>
      </c>
      <c r="F337" s="54" t="s">
        <v>787</v>
      </c>
      <c r="G337" s="54" t="s">
        <v>2196</v>
      </c>
      <c r="H337" s="55">
        <v>11</v>
      </c>
      <c r="I337" s="55">
        <v>10.5</v>
      </c>
      <c r="J337" s="55">
        <v>10.299999999999999</v>
      </c>
      <c r="K337" s="54"/>
      <c r="L337" s="56" t="b">
        <v>0</v>
      </c>
      <c r="M337" s="56" t="b">
        <v>0</v>
      </c>
      <c r="N337" s="54">
        <v>1</v>
      </c>
      <c r="O337" s="54" t="s">
        <v>228</v>
      </c>
      <c r="P337" s="54">
        <v>15</v>
      </c>
      <c r="Q337" s="54">
        <v>10</v>
      </c>
      <c r="R337" s="54">
        <v>300</v>
      </c>
      <c r="S337" s="54" t="s">
        <v>1711</v>
      </c>
      <c r="T337" s="54"/>
      <c r="U337" s="54" t="s">
        <v>1707</v>
      </c>
      <c r="V337" s="54" t="s">
        <v>1712</v>
      </c>
      <c r="W337" s="54" t="b">
        <v>0</v>
      </c>
      <c r="X337" s="54"/>
      <c r="Y337" s="57" t="s">
        <v>2197</v>
      </c>
      <c r="Z337" s="54" t="s">
        <v>1713</v>
      </c>
      <c r="AA337" s="54"/>
      <c r="AB337" s="54" t="s">
        <v>1714</v>
      </c>
      <c r="AC337" s="56" t="b">
        <v>1</v>
      </c>
      <c r="AD337" s="56" t="b">
        <v>0</v>
      </c>
      <c r="AE337" s="54" t="s">
        <v>303</v>
      </c>
      <c r="AF337" s="58">
        <v>46234</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4.9099999999999998E-2</v>
      </c>
      <c r="BC337" s="60">
        <v>4.9000000000000004</v>
      </c>
      <c r="BD337" s="61">
        <v>5.1461E-2</v>
      </c>
      <c r="BE337" s="62" t="s">
        <v>293</v>
      </c>
      <c r="BF337" s="35">
        <f t="shared" si="0"/>
        <v>4.9000000000000004</v>
      </c>
      <c r="BG337" s="35">
        <f t="shared" si="0"/>
        <v>5.1461E-2</v>
      </c>
      <c r="BH337" s="35" t="str">
        <f t="shared" ref="BH337:BH338" si="753">IF(ISTEXT(BE337),IF(AND(AV337=0,SUM(AN337:AQ337)=0),IF(AM337&lt;=0,IF(BE337="Y","Low","Flat"),"Med"),"High"),"?")</f>
        <v>Low</v>
      </c>
      <c r="BI337" s="110">
        <f t="shared" ref="BI337:BI338" si="754">IF(ISNUMBER(AH337),0*BI$5*SIN((EDATE($A$3,$Q337)-DATE(YEAR(EDATE($A$3,$Q337)),1,0)-BI$4)*2*PI()/365),"")</f>
        <v>0</v>
      </c>
      <c r="BJ337" s="83">
        <f>VLOOKUP($F337,REP_Info!$D$6:$H$250,5,FALSE)</f>
        <v>8.1270000000000007</v>
      </c>
      <c r="BK337" s="30">
        <f t="shared" ref="BK337:BN338" si="755">IF(BK$7&gt;0,(LOOKUP(BK$7,$AH337:$AL337,$AM337:$AQ337)+IF($AG337="Y",SUMPRODUCT($AX337:$BB337-$AW337:$BA337,BK$7-$AR337:$AV337,N(BK$7&gt;$AR337:$AV337)),BK$7*LOOKUP(BK$7,$AR337:$AV337,$AX337:$BB337))+IF($BE337="Y",$BF337,$BC337)+BK$7*IF($BE337="Y",$BG337,$BD337))*100/BK$7,"")</f>
        <v>11.036099999999999</v>
      </c>
      <c r="BL337" s="30">
        <f t="shared" si="755"/>
        <v>10.546099999999999</v>
      </c>
      <c r="BM337" s="30">
        <f t="shared" si="755"/>
        <v>10.3011</v>
      </c>
      <c r="BN337" s="29">
        <f t="shared" si="755"/>
        <v>10.219433333333331</v>
      </c>
      <c r="BO337" s="85" t="str">
        <f t="shared" si="2"/>
        <v>$$$</v>
      </c>
      <c r="BP337" s="88" t="str">
        <f t="shared" ref="BP337:BP338" si="756">IFERROR(BO337*100/BO$5,"$$$")</f>
        <v>$$$</v>
      </c>
      <c r="BQ337" s="88" t="str">
        <f t="shared" si="4"/>
        <v>$$$</v>
      </c>
      <c r="BR337" s="88" t="str">
        <f t="shared" si="5"/>
        <v>$$$</v>
      </c>
      <c r="BS337" s="29" t="e">
        <f t="shared" ref="BS337:CD338" si="757">IF($CI337,IF(BS$7&gt;0,IF(BS$4&gt;$Q337,$BF337+BS$7*(BS$5+$BG337+$BI337),LOOKUP(BS$7,$AH337:$AL337,$AM337:$AQ337)+IF($AG337="Y",SUMPRODUCT($AX337:$BB337-$AW337:$BA337,BS$7-$AR337:$AV337,N(BS$7&gt;$AR337:$AV337)),BS$7*LOOKUP(BS$7,$AR337:$AV337,$AX337:$BB337))+IF($BE337="Y",$BF337,$BC337)+BS$7*IF($BE337="Y",$BG337,$BD337))*100/BS$7,""),NA())</f>
        <v>#N/A</v>
      </c>
      <c r="BT337" s="29" t="e">
        <f t="shared" si="757"/>
        <v>#N/A</v>
      </c>
      <c r="BU337" s="29" t="e">
        <f t="shared" si="757"/>
        <v>#N/A</v>
      </c>
      <c r="BV337" s="29" t="e">
        <f t="shared" si="757"/>
        <v>#N/A</v>
      </c>
      <c r="BW337" s="29" t="e">
        <f t="shared" si="757"/>
        <v>#N/A</v>
      </c>
      <c r="BX337" s="29" t="e">
        <f t="shared" si="757"/>
        <v>#N/A</v>
      </c>
      <c r="BY337" s="29" t="e">
        <f t="shared" si="757"/>
        <v>#N/A</v>
      </c>
      <c r="BZ337" s="29" t="e">
        <f t="shared" si="757"/>
        <v>#N/A</v>
      </c>
      <c r="CA337" s="29" t="e">
        <f t="shared" si="757"/>
        <v>#N/A</v>
      </c>
      <c r="CB337" s="29" t="e">
        <f t="shared" si="757"/>
        <v>#N/A</v>
      </c>
      <c r="CC337" s="29" t="e">
        <f t="shared" si="757"/>
        <v>#N/A</v>
      </c>
      <c r="CD337" s="29" t="e">
        <f t="shared" si="757"/>
        <v>#N/A</v>
      </c>
      <c r="CE337" s="6" t="str">
        <f t="shared" si="616"/>
        <v/>
      </c>
      <c r="CF337" s="27" t="e">
        <f>IF(AND(CI337,NOT(AD337)),LOOKUP(CF$5,{0,750,1500},H337:J337),"")</f>
        <v>#N/A</v>
      </c>
      <c r="CG337" s="6" t="str">
        <f t="shared" si="617"/>
        <v/>
      </c>
      <c r="CH337" t="e">
        <f t="shared" ref="CH337:CH338" si="758">IF(CI337,IF(ISNUMBER(BO337),BO337,100000)+CV337/10000+IF(ISNUMBER(BJ337),BJ337,2)/10000-P337/100000+ROW()/10000000,"")</f>
        <v>#N/A</v>
      </c>
      <c r="CI337" t="e">
        <f t="shared" ref="CI337:CI338" si="759">PRODUCT(CJ337:CQ337)</f>
        <v>#N/A</v>
      </c>
      <c r="CJ337" s="6" t="e">
        <f t="shared" si="11"/>
        <v>#N/A</v>
      </c>
      <c r="CK337" s="6">
        <f t="shared" si="12"/>
        <v>1</v>
      </c>
      <c r="CL337" s="6">
        <f t="shared" si="26"/>
        <v>1</v>
      </c>
      <c r="CM337" s="6">
        <f t="shared" si="13"/>
        <v>1</v>
      </c>
      <c r="CN337" s="6">
        <f t="shared" si="14"/>
        <v>0</v>
      </c>
      <c r="CO337" s="6">
        <f t="shared" si="15"/>
        <v>1</v>
      </c>
      <c r="CP337" s="6">
        <f t="shared" si="16"/>
        <v>1</v>
      </c>
      <c r="CQ337" s="6">
        <f t="shared" ref="CQ337:CQ338" si="760">IF(CQ$5="Any",1,IF(AND(CQ$5="Med",AV337=0,SUM(AN337:AQ337)=0),1,IF(AND(CQ$5="Low",AV337=0,SUM(AN337:AQ337)=0,AM337=0),1,IF(AND(CQ$5="Flat",AV337=0,SUM(AN337:AQ337)=0,AM337=0,IFERROR(NOT(BE337="Y"),0)),1,0))))</f>
        <v>1</v>
      </c>
      <c r="CR337" s="81" t="str">
        <f t="shared" si="17"/>
        <v/>
      </c>
      <c r="CS337">
        <f t="shared" ref="CS337:CS338" si="761">CS$5*(12/(MIN(12,Q337))-1)</f>
        <v>3.5999999999999992</v>
      </c>
      <c r="CT337">
        <f t="shared" si="615"/>
        <v>300</v>
      </c>
      <c r="CU337" t="str">
        <f t="shared" si="29"/>
        <v/>
      </c>
      <c r="CV337" s="81">
        <f t="shared" ref="CV337:CV338" si="762">CT337*IF(CU337="",1,Q337)</f>
        <v>300</v>
      </c>
      <c r="CW337" s="81">
        <f>(CV337/25)^1.5*(Calculator!$BU$4/10000)*CW$5</f>
        <v>107.33613078068259</v>
      </c>
      <c r="CX337" t="str">
        <f t="shared" ref="CX337:CX338" si="763">"$"&amp;IF(LEFT(CU337,1)="r",CT337&amp;"/"&amp;CU337,CV337)</f>
        <v>$300</v>
      </c>
    </row>
    <row r="338" spans="2:102" x14ac:dyDescent="0.25">
      <c r="B338" s="115" t="s">
        <v>233</v>
      </c>
      <c r="C338" s="13">
        <v>46236.341666666667</v>
      </c>
      <c r="D338">
        <v>37118</v>
      </c>
      <c r="E338" s="54" t="s">
        <v>235</v>
      </c>
      <c r="F338" s="54" t="s">
        <v>787</v>
      </c>
      <c r="G338" s="54" t="s">
        <v>2198</v>
      </c>
      <c r="H338" s="55">
        <v>10.9</v>
      </c>
      <c r="I338" s="55">
        <v>10.4</v>
      </c>
      <c r="J338" s="55">
        <v>10.199999999999999</v>
      </c>
      <c r="K338" s="54"/>
      <c r="L338" s="56" t="b">
        <v>0</v>
      </c>
      <c r="M338" s="56" t="b">
        <v>0</v>
      </c>
      <c r="N338" s="54">
        <v>1</v>
      </c>
      <c r="O338" s="54" t="s">
        <v>228</v>
      </c>
      <c r="P338" s="54">
        <v>15</v>
      </c>
      <c r="Q338" s="54">
        <v>11</v>
      </c>
      <c r="R338" s="54">
        <v>300</v>
      </c>
      <c r="S338" s="54" t="s">
        <v>1711</v>
      </c>
      <c r="T338" s="54"/>
      <c r="U338" s="54" t="s">
        <v>1707</v>
      </c>
      <c r="V338" s="54" t="s">
        <v>1712</v>
      </c>
      <c r="W338" s="54" t="b">
        <v>0</v>
      </c>
      <c r="X338" s="54"/>
      <c r="Y338" s="57" t="s">
        <v>2199</v>
      </c>
      <c r="Z338" s="54" t="s">
        <v>1713</v>
      </c>
      <c r="AA338" s="54"/>
      <c r="AB338" s="54" t="s">
        <v>1714</v>
      </c>
      <c r="AC338" s="56" t="b">
        <v>1</v>
      </c>
      <c r="AD338" s="56" t="b">
        <v>0</v>
      </c>
      <c r="AE338" s="54" t="s">
        <v>303</v>
      </c>
      <c r="AF338" s="58">
        <v>46234</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4.8099999999999997E-2</v>
      </c>
      <c r="BC338" s="60">
        <v>4.9000000000000004</v>
      </c>
      <c r="BD338" s="61">
        <v>5.1461E-2</v>
      </c>
      <c r="BE338" s="62" t="s">
        <v>293</v>
      </c>
      <c r="BF338" s="35">
        <f t="shared" si="0"/>
        <v>4.9000000000000004</v>
      </c>
      <c r="BG338" s="35">
        <f t="shared" si="0"/>
        <v>5.1461E-2</v>
      </c>
      <c r="BH338" s="35" t="str">
        <f t="shared" si="753"/>
        <v>Low</v>
      </c>
      <c r="BI338" s="110">
        <f t="shared" si="754"/>
        <v>0</v>
      </c>
      <c r="BJ338" s="83">
        <f>VLOOKUP($F338,REP_Info!$D$6:$H$250,5,FALSE)</f>
        <v>8.1270000000000007</v>
      </c>
      <c r="BK338" s="30">
        <f t="shared" si="755"/>
        <v>10.936099999999998</v>
      </c>
      <c r="BL338" s="30">
        <f t="shared" si="755"/>
        <v>10.446099999999998</v>
      </c>
      <c r="BM338" s="30">
        <f t="shared" si="755"/>
        <v>10.2011</v>
      </c>
      <c r="BN338" s="29">
        <f t="shared" si="755"/>
        <v>10.119433333333332</v>
      </c>
      <c r="BO338" s="85" t="str">
        <f t="shared" si="2"/>
        <v>$$$</v>
      </c>
      <c r="BP338" s="88" t="str">
        <f t="shared" si="756"/>
        <v>$$$</v>
      </c>
      <c r="BQ338" s="88" t="str">
        <f t="shared" si="4"/>
        <v>$$$</v>
      </c>
      <c r="BR338" s="88" t="str">
        <f t="shared" si="5"/>
        <v>$$$</v>
      </c>
      <c r="BS338" s="29" t="e">
        <f t="shared" si="757"/>
        <v>#N/A</v>
      </c>
      <c r="BT338" s="29" t="e">
        <f t="shared" si="757"/>
        <v>#N/A</v>
      </c>
      <c r="BU338" s="29" t="e">
        <f t="shared" si="757"/>
        <v>#N/A</v>
      </c>
      <c r="BV338" s="29" t="e">
        <f t="shared" si="757"/>
        <v>#N/A</v>
      </c>
      <c r="BW338" s="29" t="e">
        <f t="shared" si="757"/>
        <v>#N/A</v>
      </c>
      <c r="BX338" s="29" t="e">
        <f t="shared" si="757"/>
        <v>#N/A</v>
      </c>
      <c r="BY338" s="29" t="e">
        <f t="shared" si="757"/>
        <v>#N/A</v>
      </c>
      <c r="BZ338" s="29" t="e">
        <f t="shared" si="757"/>
        <v>#N/A</v>
      </c>
      <c r="CA338" s="29" t="e">
        <f t="shared" si="757"/>
        <v>#N/A</v>
      </c>
      <c r="CB338" s="29" t="e">
        <f t="shared" si="757"/>
        <v>#N/A</v>
      </c>
      <c r="CC338" s="29" t="e">
        <f t="shared" si="757"/>
        <v>#N/A</v>
      </c>
      <c r="CD338" s="29" t="e">
        <f t="shared" si="757"/>
        <v>#N/A</v>
      </c>
      <c r="CE338" s="6" t="str">
        <f t="shared" si="616"/>
        <v/>
      </c>
      <c r="CF338" s="27" t="e">
        <f>IF(AND(CI338,NOT(AD338)),LOOKUP(CF$5,{0,750,1500},H338:J338),"")</f>
        <v>#N/A</v>
      </c>
      <c r="CG338" s="6" t="str">
        <f t="shared" si="617"/>
        <v/>
      </c>
      <c r="CH338" t="e">
        <f t="shared" si="758"/>
        <v>#N/A</v>
      </c>
      <c r="CI338" t="e">
        <f t="shared" si="759"/>
        <v>#N/A</v>
      </c>
      <c r="CJ338" s="6" t="e">
        <f t="shared" si="11"/>
        <v>#N/A</v>
      </c>
      <c r="CK338" s="6">
        <f t="shared" si="12"/>
        <v>1</v>
      </c>
      <c r="CL338" s="6">
        <f t="shared" si="26"/>
        <v>1</v>
      </c>
      <c r="CM338" s="6">
        <f t="shared" si="13"/>
        <v>1</v>
      </c>
      <c r="CN338" s="6">
        <f t="shared" si="14"/>
        <v>0</v>
      </c>
      <c r="CO338" s="6">
        <f t="shared" si="15"/>
        <v>1</v>
      </c>
      <c r="CP338" s="6">
        <f t="shared" si="16"/>
        <v>1</v>
      </c>
      <c r="CQ338" s="6">
        <f t="shared" si="760"/>
        <v>1</v>
      </c>
      <c r="CR338" s="81" t="str">
        <f t="shared" si="17"/>
        <v/>
      </c>
      <c r="CS338">
        <f t="shared" si="761"/>
        <v>1.6363636363636349</v>
      </c>
      <c r="CT338">
        <f t="shared" si="615"/>
        <v>300</v>
      </c>
      <c r="CU338" t="str">
        <f t="shared" si="29"/>
        <v/>
      </c>
      <c r="CV338" s="81">
        <f t="shared" si="762"/>
        <v>300</v>
      </c>
      <c r="CW338" s="81">
        <f>(CV338/25)^1.5*(Calculator!$BU$4/10000)*CW$5</f>
        <v>107.33613078068259</v>
      </c>
      <c r="CX338" t="str">
        <f t="shared" si="763"/>
        <v>$300</v>
      </c>
    </row>
    <row r="339" spans="2:102" x14ac:dyDescent="0.25">
      <c r="B339" s="115" t="s">
        <v>233</v>
      </c>
      <c r="C339" s="13">
        <v>46237.767361111109</v>
      </c>
      <c r="D339">
        <v>37225</v>
      </c>
      <c r="E339" s="54" t="s">
        <v>237</v>
      </c>
      <c r="F339" s="54" t="s">
        <v>787</v>
      </c>
      <c r="G339" s="54" t="s">
        <v>2196</v>
      </c>
      <c r="H339" s="55">
        <v>11.700000000000001</v>
      </c>
      <c r="I339" s="55">
        <v>11.200000000000001</v>
      </c>
      <c r="J339" s="55">
        <v>11</v>
      </c>
      <c r="K339" s="54"/>
      <c r="L339" s="56" t="b">
        <v>0</v>
      </c>
      <c r="M339" s="56" t="b">
        <v>0</v>
      </c>
      <c r="N339" s="54">
        <v>1</v>
      </c>
      <c r="O339" s="54" t="s">
        <v>228</v>
      </c>
      <c r="P339" s="54">
        <v>15</v>
      </c>
      <c r="Q339" s="54">
        <v>10</v>
      </c>
      <c r="R339" s="54">
        <v>300</v>
      </c>
      <c r="S339" s="54" t="s">
        <v>1711</v>
      </c>
      <c r="T339" s="54"/>
      <c r="U339" s="54" t="s">
        <v>1707</v>
      </c>
      <c r="V339" s="54" t="s">
        <v>1712</v>
      </c>
      <c r="W339" s="54" t="b">
        <v>0</v>
      </c>
      <c r="X339" s="54"/>
      <c r="Y339" s="57" t="s">
        <v>2309</v>
      </c>
      <c r="Z339" s="54" t="s">
        <v>1713</v>
      </c>
      <c r="AA339" s="54"/>
      <c r="AB339" s="54" t="s">
        <v>1714</v>
      </c>
      <c r="AC339" s="56" t="b">
        <v>1</v>
      </c>
      <c r="AD339" s="56" t="b">
        <v>0</v>
      </c>
      <c r="AE339" s="54" t="s">
        <v>303</v>
      </c>
      <c r="AF339" s="58">
        <v>46237</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4.8099999999999997E-2</v>
      </c>
      <c r="BC339" s="60">
        <v>4.0599999999999996</v>
      </c>
      <c r="BD339" s="61">
        <v>6.0295000000000001E-2</v>
      </c>
      <c r="BE339" s="62" t="s">
        <v>293</v>
      </c>
      <c r="BF339" s="35">
        <f t="shared" si="0"/>
        <v>4.0600000000000005</v>
      </c>
      <c r="BG339" s="35">
        <f t="shared" si="0"/>
        <v>6.0295000000000001E-2</v>
      </c>
      <c r="BH339" s="35" t="str">
        <f t="shared" ref="BH339" si="764">IF(ISTEXT(BE339),IF(AND(AV339=0,SUM(AN339:AQ339)=0),IF(AM339&lt;=0,IF(BE339="Y","Low","Flat"),"Med"),"High"),"?")</f>
        <v>Low</v>
      </c>
      <c r="BI339" s="110">
        <f t="shared" ref="BI339" si="765">IF(ISNUMBER(AH339),0*BI$5*SIN((EDATE($A$3,$Q339)-DATE(YEAR(EDATE($A$3,$Q339)),1,0)-BI$4)*2*PI()/365),"")</f>
        <v>0</v>
      </c>
      <c r="BJ339" s="83">
        <f>VLOOKUP($F339,REP_Info!$D$6:$H$250,5,FALSE)</f>
        <v>8.1270000000000007</v>
      </c>
      <c r="BK339" s="30">
        <f t="shared" ref="BK339:BN339" si="766">IF(BK$7&gt;0,(LOOKUP(BK$7,$AH339:$AL339,$AM339:$AQ339)+IF($AG339="Y",SUMPRODUCT($AX339:$BB339-$AW339:$BA339,BK$7-$AR339:$AV339,N(BK$7&gt;$AR339:$AV339)),BK$7*LOOKUP(BK$7,$AR339:$AV339,$AX339:$BB339))+IF($BE339="Y",$BF339,$BC339)+BK$7*IF($BE339="Y",$BG339,$BD339))*100/BK$7,"")</f>
        <v>11.6515</v>
      </c>
      <c r="BL339" s="30">
        <f t="shared" si="766"/>
        <v>11.2455</v>
      </c>
      <c r="BM339" s="30">
        <f t="shared" si="766"/>
        <v>11.0425</v>
      </c>
      <c r="BN339" s="29">
        <f t="shared" si="766"/>
        <v>10.974833333333333</v>
      </c>
      <c r="BO339" s="85" t="str">
        <f t="shared" si="2"/>
        <v>$$$</v>
      </c>
      <c r="BP339" s="88" t="str">
        <f t="shared" ref="BP339" si="767">IFERROR(BO339*100/BO$5,"$$$")</f>
        <v>$$$</v>
      </c>
      <c r="BQ339" s="88" t="str">
        <f t="shared" si="4"/>
        <v>$$$</v>
      </c>
      <c r="BR339" s="88" t="str">
        <f t="shared" si="5"/>
        <v>$$$</v>
      </c>
      <c r="BS339" s="29" t="e">
        <f t="shared" ref="BS339:CD339" si="768">IF($CI339,IF(BS$7&gt;0,IF(BS$4&gt;$Q339,$BF339+BS$7*(BS$5+$BG339+$BI339),LOOKUP(BS$7,$AH339:$AL339,$AM339:$AQ339)+IF($AG339="Y",SUMPRODUCT($AX339:$BB339-$AW339:$BA339,BS$7-$AR339:$AV339,N(BS$7&gt;$AR339:$AV339)),BS$7*LOOKUP(BS$7,$AR339:$AV339,$AX339:$BB339))+IF($BE339="Y",$BF339,$BC339)+BS$7*IF($BE339="Y",$BG339,$BD339))*100/BS$7,""),NA())</f>
        <v>#N/A</v>
      </c>
      <c r="BT339" s="29" t="e">
        <f t="shared" si="768"/>
        <v>#N/A</v>
      </c>
      <c r="BU339" s="29" t="e">
        <f t="shared" si="768"/>
        <v>#N/A</v>
      </c>
      <c r="BV339" s="29" t="e">
        <f t="shared" si="768"/>
        <v>#N/A</v>
      </c>
      <c r="BW339" s="29" t="e">
        <f t="shared" si="768"/>
        <v>#N/A</v>
      </c>
      <c r="BX339" s="29" t="e">
        <f t="shared" si="768"/>
        <v>#N/A</v>
      </c>
      <c r="BY339" s="29" t="e">
        <f t="shared" si="768"/>
        <v>#N/A</v>
      </c>
      <c r="BZ339" s="29" t="e">
        <f t="shared" si="768"/>
        <v>#N/A</v>
      </c>
      <c r="CA339" s="29" t="e">
        <f t="shared" si="768"/>
        <v>#N/A</v>
      </c>
      <c r="CB339" s="29" t="e">
        <f t="shared" si="768"/>
        <v>#N/A</v>
      </c>
      <c r="CC339" s="29" t="e">
        <f t="shared" si="768"/>
        <v>#N/A</v>
      </c>
      <c r="CD339" s="29" t="e">
        <f t="shared" si="768"/>
        <v>#N/A</v>
      </c>
      <c r="CE339" s="6" t="str">
        <f t="shared" si="616"/>
        <v/>
      </c>
      <c r="CF339" s="27" t="e">
        <f>IF(AND(CI339,NOT(AD339)),LOOKUP(CF$5,{0,750,1500},H339:J339),"")</f>
        <v>#N/A</v>
      </c>
      <c r="CG339" s="6" t="str">
        <f t="shared" si="617"/>
        <v/>
      </c>
      <c r="CH339" t="e">
        <f t="shared" ref="CH339" si="769">IF(CI339,IF(ISNUMBER(BO339),BO339,100000)+CV339/10000+IF(ISNUMBER(BJ339),BJ339,2)/10000-P339/100000+ROW()/10000000,"")</f>
        <v>#N/A</v>
      </c>
      <c r="CI339" t="e">
        <f t="shared" ref="CI339" si="770">PRODUCT(CJ339:CQ339)</f>
        <v>#N/A</v>
      </c>
      <c r="CJ339" s="6" t="e">
        <f t="shared" si="11"/>
        <v>#N/A</v>
      </c>
      <c r="CK339" s="6">
        <f t="shared" si="12"/>
        <v>1</v>
      </c>
      <c r="CL339" s="6">
        <f t="shared" si="26"/>
        <v>1</v>
      </c>
      <c r="CM339" s="6">
        <f t="shared" si="13"/>
        <v>1</v>
      </c>
      <c r="CN339" s="6">
        <f t="shared" si="14"/>
        <v>0</v>
      </c>
      <c r="CO339" s="6">
        <f t="shared" si="15"/>
        <v>1</v>
      </c>
      <c r="CP339" s="6">
        <f t="shared" si="16"/>
        <v>1</v>
      </c>
      <c r="CQ339" s="6">
        <f t="shared" ref="CQ339" si="771">IF(CQ$5="Any",1,IF(AND(CQ$5="Med",AV339=0,SUM(AN339:AQ339)=0),1,IF(AND(CQ$5="Low",AV339=0,SUM(AN339:AQ339)=0,AM339=0),1,IF(AND(CQ$5="Flat",AV339=0,SUM(AN339:AQ339)=0,AM339=0,IFERROR(NOT(BE339="Y"),0)),1,0))))</f>
        <v>1</v>
      </c>
      <c r="CR339" s="81" t="str">
        <f t="shared" si="17"/>
        <v/>
      </c>
      <c r="CS339">
        <f t="shared" ref="CS339" si="772">CS$5*(12/(MIN(12,Q339))-1)</f>
        <v>3.5999999999999992</v>
      </c>
      <c r="CT339">
        <f t="shared" si="615"/>
        <v>300</v>
      </c>
      <c r="CU339" t="str">
        <f t="shared" si="29"/>
        <v/>
      </c>
      <c r="CV339" s="81">
        <f t="shared" ref="CV339" si="773">CT339*IF(CU339="",1,Q339)</f>
        <v>300</v>
      </c>
      <c r="CW339" s="81">
        <f>(CV339/25)^1.5*(Calculator!$BU$4/10000)*CW$5</f>
        <v>107.33613078068259</v>
      </c>
      <c r="CX339" t="str">
        <f t="shared" ref="CX339" si="774">"$"&amp;IF(LEFT(CU339,1)="r",CT339&amp;"/"&amp;CU339,CV339)</f>
        <v>$300</v>
      </c>
    </row>
    <row r="340" spans="2:102" x14ac:dyDescent="0.25">
      <c r="B340" s="115" t="s">
        <v>233</v>
      </c>
      <c r="C340" s="13">
        <v>46237.767361111109</v>
      </c>
      <c r="D340">
        <v>37227</v>
      </c>
      <c r="E340" s="54" t="s">
        <v>237</v>
      </c>
      <c r="F340" s="54" t="s">
        <v>787</v>
      </c>
      <c r="G340" s="54" t="s">
        <v>2198</v>
      </c>
      <c r="H340" s="55">
        <v>11.700000000000001</v>
      </c>
      <c r="I340" s="55">
        <v>11.200000000000001</v>
      </c>
      <c r="J340" s="55">
        <v>11</v>
      </c>
      <c r="K340" s="54"/>
      <c r="L340" s="56" t="b">
        <v>0</v>
      </c>
      <c r="M340" s="56" t="b">
        <v>0</v>
      </c>
      <c r="N340" s="54">
        <v>1</v>
      </c>
      <c r="O340" s="54" t="s">
        <v>228</v>
      </c>
      <c r="P340" s="54">
        <v>15</v>
      </c>
      <c r="Q340" s="54">
        <v>11</v>
      </c>
      <c r="R340" s="54">
        <v>300</v>
      </c>
      <c r="S340" s="54" t="s">
        <v>1711</v>
      </c>
      <c r="T340" s="54"/>
      <c r="U340" s="54" t="s">
        <v>1707</v>
      </c>
      <c r="V340" s="54" t="s">
        <v>1712</v>
      </c>
      <c r="W340" s="54" t="b">
        <v>0</v>
      </c>
      <c r="X340" s="54"/>
      <c r="Y340" s="57" t="s">
        <v>2310</v>
      </c>
      <c r="Z340" s="54" t="s">
        <v>1713</v>
      </c>
      <c r="AA340" s="54"/>
      <c r="AB340" s="54" t="s">
        <v>1714</v>
      </c>
      <c r="AC340" s="56" t="b">
        <v>1</v>
      </c>
      <c r="AD340" s="56" t="b">
        <v>0</v>
      </c>
      <c r="AE340" s="54" t="s">
        <v>303</v>
      </c>
      <c r="AF340" s="58">
        <v>46237</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4.8099999999999997E-2</v>
      </c>
      <c r="BC340" s="60">
        <v>4.0599999999999996</v>
      </c>
      <c r="BD340" s="61">
        <v>6.0295000000000001E-2</v>
      </c>
      <c r="BE340" s="62" t="s">
        <v>293</v>
      </c>
      <c r="BF340" s="35">
        <f t="shared" si="0"/>
        <v>4.0600000000000005</v>
      </c>
      <c r="BG340" s="35">
        <f t="shared" si="0"/>
        <v>6.0295000000000001E-2</v>
      </c>
      <c r="BH340" s="35" t="str">
        <f t="shared" ref="BH340:BH346" si="775">IF(ISTEXT(BE340),IF(AND(AV340=0,SUM(AN340:AQ340)=0),IF(AM340&lt;=0,IF(BE340="Y","Low","Flat"),"Med"),"High"),"?")</f>
        <v>Low</v>
      </c>
      <c r="BI340" s="110">
        <f t="shared" ref="BI340:BI346" si="776">IF(ISNUMBER(AH340),0*BI$5*SIN((EDATE($A$3,$Q340)-DATE(YEAR(EDATE($A$3,$Q340)),1,0)-BI$4)*2*PI()/365),"")</f>
        <v>0</v>
      </c>
      <c r="BJ340" s="83">
        <f>VLOOKUP($F340,REP_Info!$D$6:$H$250,5,FALSE)</f>
        <v>8.1270000000000007</v>
      </c>
      <c r="BK340" s="30">
        <f t="shared" ref="BK340:BN346" si="777">IF(BK$7&gt;0,(LOOKUP(BK$7,$AH340:$AL340,$AM340:$AQ340)+IF($AG340="Y",SUMPRODUCT($AX340:$BB340-$AW340:$BA340,BK$7-$AR340:$AV340,N(BK$7&gt;$AR340:$AV340)),BK$7*LOOKUP(BK$7,$AR340:$AV340,$AX340:$BB340))+IF($BE340="Y",$BF340,$BC340)+BK$7*IF($BE340="Y",$BG340,$BD340))*100/BK$7,"")</f>
        <v>11.6515</v>
      </c>
      <c r="BL340" s="30">
        <f t="shared" si="777"/>
        <v>11.2455</v>
      </c>
      <c r="BM340" s="30">
        <f t="shared" si="777"/>
        <v>11.0425</v>
      </c>
      <c r="BN340" s="29">
        <f t="shared" si="777"/>
        <v>10.974833333333333</v>
      </c>
      <c r="BO340" s="85" t="str">
        <f t="shared" si="2"/>
        <v>$$$</v>
      </c>
      <c r="BP340" s="88" t="str">
        <f t="shared" ref="BP340:BP346" si="778">IFERROR(BO340*100/BO$5,"$$$")</f>
        <v>$$$</v>
      </c>
      <c r="BQ340" s="88" t="str">
        <f t="shared" si="4"/>
        <v>$$$</v>
      </c>
      <c r="BR340" s="88" t="str">
        <f t="shared" si="5"/>
        <v>$$$</v>
      </c>
      <c r="BS340" s="29" t="e">
        <f t="shared" ref="BS340:CD346" si="779">IF($CI340,IF(BS$7&gt;0,IF(BS$4&gt;$Q340,$BF340+BS$7*(BS$5+$BG340+$BI340),LOOKUP(BS$7,$AH340:$AL340,$AM340:$AQ340)+IF($AG340="Y",SUMPRODUCT($AX340:$BB340-$AW340:$BA340,BS$7-$AR340:$AV340,N(BS$7&gt;$AR340:$AV340)),BS$7*LOOKUP(BS$7,$AR340:$AV340,$AX340:$BB340))+IF($BE340="Y",$BF340,$BC340)+BS$7*IF($BE340="Y",$BG340,$BD340))*100/BS$7,""),NA())</f>
        <v>#N/A</v>
      </c>
      <c r="BT340" s="29" t="e">
        <f t="shared" si="779"/>
        <v>#N/A</v>
      </c>
      <c r="BU340" s="29" t="e">
        <f t="shared" si="779"/>
        <v>#N/A</v>
      </c>
      <c r="BV340" s="29" t="e">
        <f t="shared" si="779"/>
        <v>#N/A</v>
      </c>
      <c r="BW340" s="29" t="e">
        <f t="shared" si="779"/>
        <v>#N/A</v>
      </c>
      <c r="BX340" s="29" t="e">
        <f t="shared" si="779"/>
        <v>#N/A</v>
      </c>
      <c r="BY340" s="29" t="e">
        <f t="shared" si="779"/>
        <v>#N/A</v>
      </c>
      <c r="BZ340" s="29" t="e">
        <f t="shared" si="779"/>
        <v>#N/A</v>
      </c>
      <c r="CA340" s="29" t="e">
        <f t="shared" si="779"/>
        <v>#N/A</v>
      </c>
      <c r="CB340" s="29" t="e">
        <f t="shared" si="779"/>
        <v>#N/A</v>
      </c>
      <c r="CC340" s="29" t="e">
        <f t="shared" si="779"/>
        <v>#N/A</v>
      </c>
      <c r="CD340" s="29" t="e">
        <f t="shared" si="779"/>
        <v>#N/A</v>
      </c>
      <c r="CE340" s="6" t="str">
        <f t="shared" si="616"/>
        <v/>
      </c>
      <c r="CF340" s="27" t="e">
        <f>IF(AND(CI340,NOT(AD340)),LOOKUP(CF$5,{0,750,1500},H340:J340),"")</f>
        <v>#N/A</v>
      </c>
      <c r="CG340" s="6" t="str">
        <f t="shared" si="617"/>
        <v/>
      </c>
      <c r="CH340" t="e">
        <f t="shared" ref="CH340:CH346" si="780">IF(CI340,IF(ISNUMBER(BO340),BO340,100000)+CV340/10000+IF(ISNUMBER(BJ340),BJ340,2)/10000-P340/100000+ROW()/10000000,"")</f>
        <v>#N/A</v>
      </c>
      <c r="CI340" t="e">
        <f t="shared" ref="CI340:CI346" si="781">PRODUCT(CJ340:CQ340)</f>
        <v>#N/A</v>
      </c>
      <c r="CJ340" s="6" t="e">
        <f t="shared" si="11"/>
        <v>#N/A</v>
      </c>
      <c r="CK340" s="6">
        <f t="shared" si="12"/>
        <v>1</v>
      </c>
      <c r="CL340" s="6">
        <f t="shared" si="26"/>
        <v>1</v>
      </c>
      <c r="CM340" s="6">
        <f t="shared" si="13"/>
        <v>1</v>
      </c>
      <c r="CN340" s="6">
        <f t="shared" si="14"/>
        <v>0</v>
      </c>
      <c r="CO340" s="6">
        <f t="shared" si="15"/>
        <v>1</v>
      </c>
      <c r="CP340" s="6">
        <f t="shared" si="16"/>
        <v>1</v>
      </c>
      <c r="CQ340" s="6">
        <f t="shared" ref="CQ340:CQ346" si="782">IF(CQ$5="Any",1,IF(AND(CQ$5="Med",AV340=0,SUM(AN340:AQ340)=0),1,IF(AND(CQ$5="Low",AV340=0,SUM(AN340:AQ340)=0,AM340=0),1,IF(AND(CQ$5="Flat",AV340=0,SUM(AN340:AQ340)=0,AM340=0,IFERROR(NOT(BE340="Y"),0)),1,0))))</f>
        <v>1</v>
      </c>
      <c r="CR340" s="81" t="str">
        <f t="shared" si="17"/>
        <v/>
      </c>
      <c r="CS340">
        <f t="shared" ref="CS340:CS346" si="783">CS$5*(12/(MIN(12,Q340))-1)</f>
        <v>1.6363636363636349</v>
      </c>
      <c r="CT340">
        <f t="shared" si="615"/>
        <v>300</v>
      </c>
      <c r="CU340" t="str">
        <f t="shared" si="29"/>
        <v/>
      </c>
      <c r="CV340" s="81">
        <f t="shared" ref="CV340:CV346" si="784">CT340*IF(CU340="",1,Q340)</f>
        <v>300</v>
      </c>
      <c r="CW340" s="81">
        <f>(CV340/25)^1.5*(Calculator!$BU$4/10000)*CW$5</f>
        <v>107.33613078068259</v>
      </c>
      <c r="CX340" t="str">
        <f t="shared" ref="CX340:CX346" si="785">"$"&amp;IF(LEFT(CU340,1)="r",CT340&amp;"/"&amp;CU340,CV340)</f>
        <v>$300</v>
      </c>
    </row>
    <row r="341" spans="2:102" x14ac:dyDescent="0.25">
      <c r="B341" s="115" t="s">
        <v>233</v>
      </c>
      <c r="C341" s="13">
        <v>46237.767361111109</v>
      </c>
      <c r="D341">
        <v>37229</v>
      </c>
      <c r="E341" s="54" t="s">
        <v>237</v>
      </c>
      <c r="F341" s="54" t="s">
        <v>787</v>
      </c>
      <c r="G341" s="54" t="s">
        <v>1715</v>
      </c>
      <c r="H341" s="55">
        <v>11.799999999999999</v>
      </c>
      <c r="I341" s="55">
        <v>11.4</v>
      </c>
      <c r="J341" s="55">
        <v>11.200000000000001</v>
      </c>
      <c r="K341" s="54"/>
      <c r="L341" s="56" t="b">
        <v>0</v>
      </c>
      <c r="M341" s="56" t="b">
        <v>0</v>
      </c>
      <c r="N341" s="54">
        <v>1</v>
      </c>
      <c r="O341" s="54" t="s">
        <v>228</v>
      </c>
      <c r="P341" s="54">
        <v>15</v>
      </c>
      <c r="Q341" s="54">
        <v>12</v>
      </c>
      <c r="R341" s="54">
        <v>300</v>
      </c>
      <c r="S341" s="54" t="s">
        <v>1711</v>
      </c>
      <c r="T341" s="54"/>
      <c r="U341" s="54" t="s">
        <v>1707</v>
      </c>
      <c r="V341" s="54" t="s">
        <v>1712</v>
      </c>
      <c r="W341" s="54" t="b">
        <v>0</v>
      </c>
      <c r="X341" s="54"/>
      <c r="Y341" s="57" t="s">
        <v>2311</v>
      </c>
      <c r="Z341" s="54" t="s">
        <v>1713</v>
      </c>
      <c r="AA341" s="54"/>
      <c r="AB341" s="54" t="s">
        <v>1714</v>
      </c>
      <c r="AC341" s="56" t="b">
        <v>1</v>
      </c>
      <c r="AD341" s="56" t="b">
        <v>0</v>
      </c>
      <c r="AE341" s="54" t="s">
        <v>303</v>
      </c>
      <c r="AF341" s="58">
        <v>46237</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4.9200000000000001E-2</v>
      </c>
      <c r="BC341" s="60">
        <v>4.0599999999999996</v>
      </c>
      <c r="BD341" s="61">
        <v>6.0295000000000001E-2</v>
      </c>
      <c r="BE341" s="62" t="s">
        <v>293</v>
      </c>
      <c r="BF341" s="35">
        <f t="shared" si="0"/>
        <v>4.0600000000000005</v>
      </c>
      <c r="BG341" s="35">
        <f t="shared" si="0"/>
        <v>6.0295000000000001E-2</v>
      </c>
      <c r="BH341" s="35" t="str">
        <f t="shared" si="775"/>
        <v>Low</v>
      </c>
      <c r="BI341" s="110">
        <f t="shared" si="776"/>
        <v>0</v>
      </c>
      <c r="BJ341" s="83">
        <f>VLOOKUP($F341,REP_Info!$D$6:$H$250,5,FALSE)</f>
        <v>8.1270000000000007</v>
      </c>
      <c r="BK341" s="30">
        <f t="shared" si="777"/>
        <v>11.7615</v>
      </c>
      <c r="BL341" s="30">
        <f t="shared" si="777"/>
        <v>11.355499999999999</v>
      </c>
      <c r="BM341" s="30">
        <f t="shared" si="777"/>
        <v>11.1525</v>
      </c>
      <c r="BN341" s="29">
        <f t="shared" si="777"/>
        <v>11.08483333333333</v>
      </c>
      <c r="BO341" s="85" t="str">
        <f t="shared" si="2"/>
        <v>$$$</v>
      </c>
      <c r="BP341" s="88" t="str">
        <f t="shared" si="778"/>
        <v>$$$</v>
      </c>
      <c r="BQ341" s="88" t="str">
        <f t="shared" si="4"/>
        <v>$$$</v>
      </c>
      <c r="BR341" s="88" t="str">
        <f t="shared" si="5"/>
        <v>$$$</v>
      </c>
      <c r="BS341" s="29" t="e">
        <f t="shared" si="779"/>
        <v>#N/A</v>
      </c>
      <c r="BT341" s="29" t="e">
        <f t="shared" si="779"/>
        <v>#N/A</v>
      </c>
      <c r="BU341" s="29" t="e">
        <f t="shared" si="779"/>
        <v>#N/A</v>
      </c>
      <c r="BV341" s="29" t="e">
        <f t="shared" si="779"/>
        <v>#N/A</v>
      </c>
      <c r="BW341" s="29" t="e">
        <f t="shared" si="779"/>
        <v>#N/A</v>
      </c>
      <c r="BX341" s="29" t="e">
        <f t="shared" si="779"/>
        <v>#N/A</v>
      </c>
      <c r="BY341" s="29" t="e">
        <f t="shared" si="779"/>
        <v>#N/A</v>
      </c>
      <c r="BZ341" s="29" t="e">
        <f t="shared" si="779"/>
        <v>#N/A</v>
      </c>
      <c r="CA341" s="29" t="e">
        <f t="shared" si="779"/>
        <v>#N/A</v>
      </c>
      <c r="CB341" s="29" t="e">
        <f t="shared" si="779"/>
        <v>#N/A</v>
      </c>
      <c r="CC341" s="29" t="e">
        <f t="shared" si="779"/>
        <v>#N/A</v>
      </c>
      <c r="CD341" s="29" t="e">
        <f t="shared" si="779"/>
        <v>#N/A</v>
      </c>
      <c r="CE341" s="6" t="str">
        <f t="shared" si="616"/>
        <v/>
      </c>
      <c r="CF341" s="27" t="e">
        <f>IF(AND(CI341,NOT(AD341)),LOOKUP(CF$5,{0,750,1500},H341:J341),"")</f>
        <v>#N/A</v>
      </c>
      <c r="CG341" s="6" t="str">
        <f t="shared" si="617"/>
        <v/>
      </c>
      <c r="CH341" t="e">
        <f t="shared" si="780"/>
        <v>#N/A</v>
      </c>
      <c r="CI341" t="e">
        <f t="shared" si="781"/>
        <v>#N/A</v>
      </c>
      <c r="CJ341" s="6" t="e">
        <f t="shared" si="11"/>
        <v>#N/A</v>
      </c>
      <c r="CK341" s="6">
        <f t="shared" si="12"/>
        <v>1</v>
      </c>
      <c r="CL341" s="6">
        <f t="shared" si="26"/>
        <v>1</v>
      </c>
      <c r="CM341" s="6">
        <f t="shared" si="13"/>
        <v>1</v>
      </c>
      <c r="CN341" s="6">
        <f t="shared" si="14"/>
        <v>1</v>
      </c>
      <c r="CO341" s="6">
        <f t="shared" si="15"/>
        <v>1</v>
      </c>
      <c r="CP341" s="6">
        <f t="shared" si="16"/>
        <v>1</v>
      </c>
      <c r="CQ341" s="6">
        <f t="shared" si="782"/>
        <v>1</v>
      </c>
      <c r="CR341" s="81" t="str">
        <f t="shared" si="17"/>
        <v/>
      </c>
      <c r="CS341">
        <f t="shared" si="783"/>
        <v>0</v>
      </c>
      <c r="CT341">
        <f t="shared" si="615"/>
        <v>300</v>
      </c>
      <c r="CU341" t="str">
        <f t="shared" si="29"/>
        <v/>
      </c>
      <c r="CV341" s="81">
        <f t="shared" si="784"/>
        <v>300</v>
      </c>
      <c r="CW341" s="81">
        <f>(CV341/25)^1.5*(Calculator!$BU$4/10000)*CW$5</f>
        <v>107.33613078068259</v>
      </c>
      <c r="CX341" t="str">
        <f t="shared" si="785"/>
        <v>$300</v>
      </c>
    </row>
    <row r="342" spans="2:102" x14ac:dyDescent="0.25">
      <c r="B342" s="115" t="s">
        <v>233</v>
      </c>
      <c r="C342" s="13">
        <v>46204.601388888892</v>
      </c>
      <c r="D342">
        <v>36599</v>
      </c>
      <c r="E342" s="54" t="s">
        <v>235</v>
      </c>
      <c r="F342" s="54" t="s">
        <v>788</v>
      </c>
      <c r="G342" s="54" t="s">
        <v>1779</v>
      </c>
      <c r="H342" s="55">
        <v>22</v>
      </c>
      <c r="I342" s="55">
        <v>9.9</v>
      </c>
      <c r="J342" s="55">
        <v>14.499999999999998</v>
      </c>
      <c r="K342" s="54" t="s">
        <v>1780</v>
      </c>
      <c r="L342" s="56" t="b">
        <v>0</v>
      </c>
      <c r="M342" s="56" t="b">
        <v>0</v>
      </c>
      <c r="N342" s="54">
        <v>1</v>
      </c>
      <c r="O342" s="54" t="s">
        <v>228</v>
      </c>
      <c r="P342" s="54">
        <v>3</v>
      </c>
      <c r="Q342" s="54">
        <v>12</v>
      </c>
      <c r="R342" s="54">
        <v>150</v>
      </c>
      <c r="S342" s="54" t="s">
        <v>1781</v>
      </c>
      <c r="T342" s="54" t="s">
        <v>1782</v>
      </c>
      <c r="U342" s="54" t="s">
        <v>789</v>
      </c>
      <c r="V342" s="54" t="s">
        <v>790</v>
      </c>
      <c r="W342" s="54" t="b">
        <v>0</v>
      </c>
      <c r="X342" s="54"/>
      <c r="Y342" s="57" t="s">
        <v>1783</v>
      </c>
      <c r="Z342" s="54" t="s">
        <v>1784</v>
      </c>
      <c r="AA342" s="54"/>
      <c r="AB342" s="54" t="s">
        <v>791</v>
      </c>
      <c r="AC342" s="56" t="b">
        <v>0</v>
      </c>
      <c r="AD342" s="56" t="b">
        <v>1</v>
      </c>
      <c r="AE342" s="54" t="s">
        <v>303</v>
      </c>
      <c r="AF342" s="58">
        <v>46204</v>
      </c>
      <c r="AG342" s="62" t="s">
        <v>293</v>
      </c>
      <c r="AH342" s="54">
        <v>0</v>
      </c>
      <c r="AI342" s="54"/>
      <c r="AJ342" s="54"/>
      <c r="AK342" s="54"/>
      <c r="AL342" s="54"/>
      <c r="AM342" s="54">
        <v>9.9499999999999993</v>
      </c>
      <c r="AN342" s="54"/>
      <c r="AO342" s="54"/>
      <c r="AP342" s="54"/>
      <c r="AQ342" s="54"/>
      <c r="AR342" s="54"/>
      <c r="AS342" s="54"/>
      <c r="AT342" s="54"/>
      <c r="AU342" s="54"/>
      <c r="AV342" s="54"/>
      <c r="AW342" s="54"/>
      <c r="AX342" s="59"/>
      <c r="AY342" s="59"/>
      <c r="AZ342" s="59"/>
      <c r="BA342" s="59"/>
      <c r="BB342" s="59">
        <v>0.13900000000000001</v>
      </c>
      <c r="BC342" s="60"/>
      <c r="BD342" s="61"/>
      <c r="BE342" s="62" t="e">
        <v>#N/A</v>
      </c>
      <c r="BF342" s="35">
        <f t="shared" si="0"/>
        <v>4.9000000000000004</v>
      </c>
      <c r="BG342" s="35">
        <f t="shared" si="0"/>
        <v>5.1461E-2</v>
      </c>
      <c r="BH342" s="35" t="str">
        <f t="shared" si="775"/>
        <v>?</v>
      </c>
      <c r="BI342" s="110">
        <f t="shared" si="776"/>
        <v>0</v>
      </c>
      <c r="BJ342" s="83">
        <f>VLOOKUP($F342,REP_Info!$D$6:$H$250,5,FALSE)</f>
        <v>0.48199999999999998</v>
      </c>
      <c r="BK342" s="30" t="e">
        <f t="shared" si="777"/>
        <v>#N/A</v>
      </c>
      <c r="BL342" s="30" t="e">
        <f t="shared" si="777"/>
        <v>#N/A</v>
      </c>
      <c r="BM342" s="30" t="e">
        <f t="shared" si="777"/>
        <v>#N/A</v>
      </c>
      <c r="BN342" s="29" t="e">
        <f t="shared" si="777"/>
        <v>#N/A</v>
      </c>
      <c r="BO342" s="85" t="str">
        <f t="shared" si="2"/>
        <v>$$$</v>
      </c>
      <c r="BP342" s="88" t="str">
        <f t="shared" si="778"/>
        <v>$$$</v>
      </c>
      <c r="BQ342" s="88" t="str">
        <f t="shared" si="4"/>
        <v>$$$</v>
      </c>
      <c r="BR342" s="88" t="str">
        <f t="shared" si="5"/>
        <v>$$$</v>
      </c>
      <c r="BS342" s="29" t="e">
        <f t="shared" si="779"/>
        <v>#N/A</v>
      </c>
      <c r="BT342" s="29" t="e">
        <f t="shared" si="779"/>
        <v>#N/A</v>
      </c>
      <c r="BU342" s="29" t="e">
        <f t="shared" si="779"/>
        <v>#N/A</v>
      </c>
      <c r="BV342" s="29" t="e">
        <f t="shared" si="779"/>
        <v>#N/A</v>
      </c>
      <c r="BW342" s="29" t="e">
        <f t="shared" si="779"/>
        <v>#N/A</v>
      </c>
      <c r="BX342" s="29" t="e">
        <f t="shared" si="779"/>
        <v>#N/A</v>
      </c>
      <c r="BY342" s="29" t="e">
        <f t="shared" si="779"/>
        <v>#N/A</v>
      </c>
      <c r="BZ342" s="29" t="e">
        <f t="shared" si="779"/>
        <v>#N/A</v>
      </c>
      <c r="CA342" s="29" t="e">
        <f t="shared" si="779"/>
        <v>#N/A</v>
      </c>
      <c r="CB342" s="29" t="e">
        <f t="shared" si="779"/>
        <v>#N/A</v>
      </c>
      <c r="CC342" s="29" t="e">
        <f t="shared" si="779"/>
        <v>#N/A</v>
      </c>
      <c r="CD342" s="29" t="e">
        <f t="shared" si="779"/>
        <v>#N/A</v>
      </c>
      <c r="CE342" s="6" t="str">
        <f t="shared" si="616"/>
        <v/>
      </c>
      <c r="CF342" s="27" t="e">
        <f>IF(AND(CI342,NOT(AD342)),LOOKUP(CF$5,{0,750,1500},H342:J342),"")</f>
        <v>#N/A</v>
      </c>
      <c r="CG342" s="6" t="str">
        <f t="shared" si="617"/>
        <v/>
      </c>
      <c r="CH342" t="e">
        <f t="shared" si="780"/>
        <v>#N/A</v>
      </c>
      <c r="CI342" t="e">
        <f t="shared" si="781"/>
        <v>#N/A</v>
      </c>
      <c r="CJ342" s="6" t="e">
        <f t="shared" si="11"/>
        <v>#N/A</v>
      </c>
      <c r="CK342" s="6">
        <f t="shared" si="12"/>
        <v>1</v>
      </c>
      <c r="CL342" s="6">
        <f t="shared" si="26"/>
        <v>1</v>
      </c>
      <c r="CM342" s="6">
        <f t="shared" si="13"/>
        <v>1</v>
      </c>
      <c r="CN342" s="6">
        <f t="shared" si="14"/>
        <v>1</v>
      </c>
      <c r="CO342" s="6">
        <f t="shared" si="15"/>
        <v>1</v>
      </c>
      <c r="CP342" s="6">
        <f t="shared" si="16"/>
        <v>1</v>
      </c>
      <c r="CQ342" s="6">
        <f t="shared" si="782"/>
        <v>1</v>
      </c>
      <c r="CR342" s="81" t="str">
        <f t="shared" si="17"/>
        <v/>
      </c>
      <c r="CS342">
        <f t="shared" si="783"/>
        <v>0</v>
      </c>
      <c r="CT342">
        <f t="shared" si="615"/>
        <v>150</v>
      </c>
      <c r="CU342" t="str">
        <f t="shared" si="29"/>
        <v/>
      </c>
      <c r="CV342" s="81">
        <f t="shared" si="784"/>
        <v>150</v>
      </c>
      <c r="CW342" s="81">
        <f>(CV342/25)^1.5*(Calculator!$BU$4/10000)*CW$5</f>
        <v>37.949052970673385</v>
      </c>
      <c r="CX342" t="str">
        <f t="shared" si="785"/>
        <v>$150</v>
      </c>
    </row>
    <row r="343" spans="2:102" x14ac:dyDescent="0.25">
      <c r="B343" s="115" t="s">
        <v>233</v>
      </c>
      <c r="C343" s="13">
        <v>46237.767361111109</v>
      </c>
      <c r="D343">
        <v>36601</v>
      </c>
      <c r="E343" s="54" t="s">
        <v>237</v>
      </c>
      <c r="F343" s="54" t="s">
        <v>788</v>
      </c>
      <c r="G343" s="54" t="s">
        <v>1779</v>
      </c>
      <c r="H343" s="55">
        <v>22.900000000000002</v>
      </c>
      <c r="I343" s="55">
        <v>10.9</v>
      </c>
      <c r="J343" s="55">
        <v>15.5</v>
      </c>
      <c r="K343" s="54" t="s">
        <v>1780</v>
      </c>
      <c r="L343" s="56" t="b">
        <v>0</v>
      </c>
      <c r="M343" s="56" t="b">
        <v>0</v>
      </c>
      <c r="N343" s="54">
        <v>1</v>
      </c>
      <c r="O343" s="54" t="s">
        <v>228</v>
      </c>
      <c r="P343" s="54">
        <v>3</v>
      </c>
      <c r="Q343" s="54">
        <v>12</v>
      </c>
      <c r="R343" s="54">
        <v>150</v>
      </c>
      <c r="S343" s="54" t="s">
        <v>1781</v>
      </c>
      <c r="T343" s="54" t="s">
        <v>1782</v>
      </c>
      <c r="U343" s="54" t="s">
        <v>789</v>
      </c>
      <c r="V343" s="54" t="s">
        <v>790</v>
      </c>
      <c r="W343" s="54" t="b">
        <v>0</v>
      </c>
      <c r="X343" s="54"/>
      <c r="Y343" s="57" t="s">
        <v>2312</v>
      </c>
      <c r="Z343" s="54" t="s">
        <v>1784</v>
      </c>
      <c r="AA343" s="54"/>
      <c r="AB343" s="54" t="s">
        <v>791</v>
      </c>
      <c r="AC343" s="56" t="b">
        <v>0</v>
      </c>
      <c r="AD343" s="56" t="b">
        <v>1</v>
      </c>
      <c r="AE343" s="54" t="s">
        <v>303</v>
      </c>
      <c r="AF343" s="58">
        <v>46237</v>
      </c>
      <c r="AG343" s="62" t="s">
        <v>293</v>
      </c>
      <c r="AH343" s="54">
        <v>0</v>
      </c>
      <c r="AI343" s="54"/>
      <c r="AJ343" s="54"/>
      <c r="AK343" s="54"/>
      <c r="AL343" s="54"/>
      <c r="AM343" s="54">
        <v>9.9499999999999993</v>
      </c>
      <c r="AN343" s="54"/>
      <c r="AO343" s="54"/>
      <c r="AP343" s="54"/>
      <c r="AQ343" s="54"/>
      <c r="AR343" s="54"/>
      <c r="AS343" s="54"/>
      <c r="AT343" s="54"/>
      <c r="AU343" s="54"/>
      <c r="AV343" s="54"/>
      <c r="AW343" s="54"/>
      <c r="AX343" s="59"/>
      <c r="AY343" s="59"/>
      <c r="AZ343" s="59"/>
      <c r="BA343" s="59"/>
      <c r="BB343" s="59">
        <v>0.14099999999999999</v>
      </c>
      <c r="BC343" s="60"/>
      <c r="BD343" s="61"/>
      <c r="BE343" s="62" t="e">
        <v>#N/A</v>
      </c>
      <c r="BF343" s="35">
        <f t="shared" si="0"/>
        <v>4.0600000000000005</v>
      </c>
      <c r="BG343" s="35">
        <f t="shared" si="0"/>
        <v>6.0295000000000001E-2</v>
      </c>
      <c r="BH343" s="35" t="str">
        <f t="shared" si="775"/>
        <v>?</v>
      </c>
      <c r="BI343" s="110">
        <f t="shared" si="776"/>
        <v>0</v>
      </c>
      <c r="BJ343" s="83">
        <f>VLOOKUP($F343,REP_Info!$D$6:$H$250,5,FALSE)</f>
        <v>0.48199999999999998</v>
      </c>
      <c r="BK343" s="30" t="e">
        <f t="shared" si="777"/>
        <v>#N/A</v>
      </c>
      <c r="BL343" s="30" t="e">
        <f t="shared" si="777"/>
        <v>#N/A</v>
      </c>
      <c r="BM343" s="30" t="e">
        <f t="shared" si="777"/>
        <v>#N/A</v>
      </c>
      <c r="BN343" s="29" t="e">
        <f t="shared" si="777"/>
        <v>#N/A</v>
      </c>
      <c r="BO343" s="85" t="str">
        <f t="shared" si="2"/>
        <v>$$$</v>
      </c>
      <c r="BP343" s="88" t="str">
        <f t="shared" si="778"/>
        <v>$$$</v>
      </c>
      <c r="BQ343" s="88" t="str">
        <f t="shared" si="4"/>
        <v>$$$</v>
      </c>
      <c r="BR343" s="88" t="str">
        <f t="shared" si="5"/>
        <v>$$$</v>
      </c>
      <c r="BS343" s="29" t="e">
        <f t="shared" si="779"/>
        <v>#N/A</v>
      </c>
      <c r="BT343" s="29" t="e">
        <f t="shared" si="779"/>
        <v>#N/A</v>
      </c>
      <c r="BU343" s="29" t="e">
        <f t="shared" si="779"/>
        <v>#N/A</v>
      </c>
      <c r="BV343" s="29" t="e">
        <f t="shared" si="779"/>
        <v>#N/A</v>
      </c>
      <c r="BW343" s="29" t="e">
        <f t="shared" si="779"/>
        <v>#N/A</v>
      </c>
      <c r="BX343" s="29" t="e">
        <f t="shared" si="779"/>
        <v>#N/A</v>
      </c>
      <c r="BY343" s="29" t="e">
        <f t="shared" si="779"/>
        <v>#N/A</v>
      </c>
      <c r="BZ343" s="29" t="e">
        <f t="shared" si="779"/>
        <v>#N/A</v>
      </c>
      <c r="CA343" s="29" t="e">
        <f t="shared" si="779"/>
        <v>#N/A</v>
      </c>
      <c r="CB343" s="29" t="e">
        <f t="shared" si="779"/>
        <v>#N/A</v>
      </c>
      <c r="CC343" s="29" t="e">
        <f t="shared" si="779"/>
        <v>#N/A</v>
      </c>
      <c r="CD343" s="29" t="e">
        <f t="shared" si="779"/>
        <v>#N/A</v>
      </c>
      <c r="CE343" s="6" t="str">
        <f t="shared" si="616"/>
        <v/>
      </c>
      <c r="CF343" s="27" t="e">
        <f>IF(AND(CI343,NOT(AD343)),LOOKUP(CF$5,{0,750,1500},H343:J343),"")</f>
        <v>#N/A</v>
      </c>
      <c r="CG343" s="6" t="str">
        <f t="shared" si="617"/>
        <v/>
      </c>
      <c r="CH343" t="e">
        <f t="shared" si="780"/>
        <v>#N/A</v>
      </c>
      <c r="CI343" t="e">
        <f t="shared" si="781"/>
        <v>#N/A</v>
      </c>
      <c r="CJ343" s="6" t="e">
        <f t="shared" si="11"/>
        <v>#N/A</v>
      </c>
      <c r="CK343" s="6">
        <f t="shared" si="12"/>
        <v>1</v>
      </c>
      <c r="CL343" s="6">
        <f t="shared" si="26"/>
        <v>1</v>
      </c>
      <c r="CM343" s="6">
        <f t="shared" si="13"/>
        <v>1</v>
      </c>
      <c r="CN343" s="6">
        <f t="shared" si="14"/>
        <v>1</v>
      </c>
      <c r="CO343" s="6">
        <f t="shared" si="15"/>
        <v>1</v>
      </c>
      <c r="CP343" s="6">
        <f t="shared" si="16"/>
        <v>1</v>
      </c>
      <c r="CQ343" s="6">
        <f t="shared" si="782"/>
        <v>1</v>
      </c>
      <c r="CR343" s="81" t="str">
        <f t="shared" si="17"/>
        <v/>
      </c>
      <c r="CS343">
        <f t="shared" si="783"/>
        <v>0</v>
      </c>
      <c r="CT343">
        <f t="shared" si="615"/>
        <v>150</v>
      </c>
      <c r="CU343" t="str">
        <f t="shared" si="29"/>
        <v/>
      </c>
      <c r="CV343" s="81">
        <f t="shared" si="784"/>
        <v>150</v>
      </c>
      <c r="CW343" s="81">
        <f>(CV343/25)^1.5*(Calculator!$BU$4/10000)*CW$5</f>
        <v>37.949052970673385</v>
      </c>
      <c r="CX343" t="str">
        <f t="shared" si="785"/>
        <v>$150</v>
      </c>
    </row>
    <row r="344" spans="2:102" x14ac:dyDescent="0.25">
      <c r="B344" s="115" t="s">
        <v>233</v>
      </c>
      <c r="C344" s="13">
        <v>46237.767361111109</v>
      </c>
      <c r="D344">
        <v>24794</v>
      </c>
      <c r="E344" s="54" t="s">
        <v>235</v>
      </c>
      <c r="F344" s="54" t="s">
        <v>792</v>
      </c>
      <c r="G344" s="54" t="s">
        <v>1697</v>
      </c>
      <c r="H344" s="55">
        <v>11.5</v>
      </c>
      <c r="I344" s="55">
        <v>11</v>
      </c>
      <c r="J344" s="55">
        <v>18.8</v>
      </c>
      <c r="K344" s="54"/>
      <c r="L344" s="56" t="b">
        <v>0</v>
      </c>
      <c r="M344" s="56" t="b">
        <v>0</v>
      </c>
      <c r="N344" s="54">
        <v>1</v>
      </c>
      <c r="O344" s="54" t="s">
        <v>228</v>
      </c>
      <c r="P344" s="54">
        <v>24</v>
      </c>
      <c r="Q344" s="54">
        <v>12</v>
      </c>
      <c r="R344" s="54">
        <v>150</v>
      </c>
      <c r="S344" s="54" t="s">
        <v>1698</v>
      </c>
      <c r="T344" s="54" t="s">
        <v>1699</v>
      </c>
      <c r="U344" s="54" t="s">
        <v>1695</v>
      </c>
      <c r="V344" s="54" t="s">
        <v>1701</v>
      </c>
      <c r="W344" s="54" t="b">
        <v>0</v>
      </c>
      <c r="X344" s="54"/>
      <c r="Y344" s="57" t="s">
        <v>2313</v>
      </c>
      <c r="Z344" s="54" t="s">
        <v>1702</v>
      </c>
      <c r="AA344" s="54"/>
      <c r="AB344" s="54" t="s">
        <v>1700</v>
      </c>
      <c r="AC344" s="56" t="b">
        <v>0</v>
      </c>
      <c r="AD344" s="56" t="b">
        <v>0</v>
      </c>
      <c r="AE344" s="54" t="s">
        <v>303</v>
      </c>
      <c r="AF344" s="58">
        <v>46237</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5.3999999999999999E-2</v>
      </c>
      <c r="BC344" s="60">
        <v>4.9000000000000004</v>
      </c>
      <c r="BD344" s="61">
        <v>5.1461E-2</v>
      </c>
      <c r="BE344" s="62" t="s">
        <v>293</v>
      </c>
      <c r="BF344" s="35">
        <f t="shared" si="0"/>
        <v>4.9000000000000004</v>
      </c>
      <c r="BG344" s="35">
        <f t="shared" si="0"/>
        <v>5.1461E-2</v>
      </c>
      <c r="BH344" s="35" t="str">
        <f t="shared" si="775"/>
        <v>Low</v>
      </c>
      <c r="BI344" s="110">
        <f t="shared" si="776"/>
        <v>0</v>
      </c>
      <c r="BJ344" s="83">
        <f>VLOOKUP($F344,REP_Info!$D$6:$H$250,5,FALSE)</f>
        <v>1.198</v>
      </c>
      <c r="BK344" s="30">
        <f t="shared" si="777"/>
        <v>11.5261</v>
      </c>
      <c r="BL344" s="30">
        <f t="shared" si="777"/>
        <v>11.036099999999999</v>
      </c>
      <c r="BM344" s="30">
        <f t="shared" si="777"/>
        <v>10.7911</v>
      </c>
      <c r="BN344" s="29">
        <f t="shared" si="777"/>
        <v>10.709433333333335</v>
      </c>
      <c r="BO344" s="85" t="str">
        <f t="shared" si="2"/>
        <v>$$$</v>
      </c>
      <c r="BP344" s="88" t="str">
        <f t="shared" si="778"/>
        <v>$$$</v>
      </c>
      <c r="BQ344" s="88" t="str">
        <f t="shared" si="4"/>
        <v>$$$</v>
      </c>
      <c r="BR344" s="88" t="str">
        <f t="shared" si="5"/>
        <v>$$$</v>
      </c>
      <c r="BS344" s="29" t="e">
        <f t="shared" si="779"/>
        <v>#N/A</v>
      </c>
      <c r="BT344" s="29" t="e">
        <f t="shared" si="779"/>
        <v>#N/A</v>
      </c>
      <c r="BU344" s="29" t="e">
        <f t="shared" si="779"/>
        <v>#N/A</v>
      </c>
      <c r="BV344" s="29" t="e">
        <f t="shared" si="779"/>
        <v>#N/A</v>
      </c>
      <c r="BW344" s="29" t="e">
        <f t="shared" si="779"/>
        <v>#N/A</v>
      </c>
      <c r="BX344" s="29" t="e">
        <f t="shared" si="779"/>
        <v>#N/A</v>
      </c>
      <c r="BY344" s="29" t="e">
        <f t="shared" si="779"/>
        <v>#N/A</v>
      </c>
      <c r="BZ344" s="29" t="e">
        <f t="shared" si="779"/>
        <v>#N/A</v>
      </c>
      <c r="CA344" s="29" t="e">
        <f t="shared" si="779"/>
        <v>#N/A</v>
      </c>
      <c r="CB344" s="29" t="e">
        <f t="shared" si="779"/>
        <v>#N/A</v>
      </c>
      <c r="CC344" s="29" t="e">
        <f t="shared" si="779"/>
        <v>#N/A</v>
      </c>
      <c r="CD344" s="29" t="e">
        <f t="shared" si="779"/>
        <v>#N/A</v>
      </c>
      <c r="CE344" s="6" t="str">
        <f t="shared" si="616"/>
        <v/>
      </c>
      <c r="CF344" s="27" t="e">
        <f>IF(AND(CI344,NOT(AD344)),LOOKUP(CF$5,{0,750,1500},H344:J344),"")</f>
        <v>#N/A</v>
      </c>
      <c r="CG344" s="6" t="str">
        <f t="shared" si="617"/>
        <v/>
      </c>
      <c r="CH344" t="e">
        <f t="shared" si="780"/>
        <v>#N/A</v>
      </c>
      <c r="CI344" t="e">
        <f t="shared" si="781"/>
        <v>#N/A</v>
      </c>
      <c r="CJ344" s="6" t="e">
        <f t="shared" si="11"/>
        <v>#N/A</v>
      </c>
      <c r="CK344" s="6">
        <f t="shared" si="12"/>
        <v>1</v>
      </c>
      <c r="CL344" s="6">
        <f t="shared" si="26"/>
        <v>1</v>
      </c>
      <c r="CM344" s="6">
        <f t="shared" si="13"/>
        <v>1</v>
      </c>
      <c r="CN344" s="6">
        <f t="shared" si="14"/>
        <v>1</v>
      </c>
      <c r="CO344" s="6">
        <f t="shared" si="15"/>
        <v>1</v>
      </c>
      <c r="CP344" s="6">
        <f t="shared" si="16"/>
        <v>1</v>
      </c>
      <c r="CQ344" s="6">
        <f t="shared" si="782"/>
        <v>1</v>
      </c>
      <c r="CR344" s="81" t="str">
        <f t="shared" si="17"/>
        <v/>
      </c>
      <c r="CS344">
        <f t="shared" si="783"/>
        <v>0</v>
      </c>
      <c r="CT344">
        <f t="shared" si="615"/>
        <v>150</v>
      </c>
      <c r="CU344" t="str">
        <f t="shared" si="29"/>
        <v/>
      </c>
      <c r="CV344" s="81">
        <f t="shared" si="784"/>
        <v>150</v>
      </c>
      <c r="CW344" s="81">
        <f>(CV344/25)^1.5*(Calculator!$BU$4/10000)*CW$5</f>
        <v>37.949052970673385</v>
      </c>
      <c r="CX344" t="str">
        <f t="shared" si="785"/>
        <v>$150</v>
      </c>
    </row>
    <row r="345" spans="2:102" x14ac:dyDescent="0.25">
      <c r="B345" s="115" t="s">
        <v>233</v>
      </c>
      <c r="C345" s="13">
        <v>46237.767361111109</v>
      </c>
      <c r="D345">
        <v>36629</v>
      </c>
      <c r="E345" s="54" t="s">
        <v>237</v>
      </c>
      <c r="F345" s="54" t="s">
        <v>1369</v>
      </c>
      <c r="G345" s="274" t="s">
        <v>1821</v>
      </c>
      <c r="H345" s="55">
        <v>12.1</v>
      </c>
      <c r="I345" s="55">
        <v>11.600000000000001</v>
      </c>
      <c r="J345" s="55">
        <v>11.4</v>
      </c>
      <c r="K345" s="54"/>
      <c r="L345" s="56" t="b">
        <v>0</v>
      </c>
      <c r="M345" s="56" t="b">
        <v>0</v>
      </c>
      <c r="N345" s="54">
        <v>1</v>
      </c>
      <c r="O345" s="54" t="s">
        <v>228</v>
      </c>
      <c r="P345" s="54">
        <v>3</v>
      </c>
      <c r="Q345" s="54">
        <v>12</v>
      </c>
      <c r="R345" s="54" t="s">
        <v>1810</v>
      </c>
      <c r="S345" s="54" t="s">
        <v>1824</v>
      </c>
      <c r="T345" s="54"/>
      <c r="U345" s="54" t="s">
        <v>1795</v>
      </c>
      <c r="V345" s="54" t="s">
        <v>1822</v>
      </c>
      <c r="W345" s="54" t="b">
        <v>0</v>
      </c>
      <c r="X345" s="54"/>
      <c r="Y345" s="57" t="s">
        <v>1823</v>
      </c>
      <c r="Z345" s="54" t="s">
        <v>1824</v>
      </c>
      <c r="AA345" s="54"/>
      <c r="AB345" s="54" t="s">
        <v>1825</v>
      </c>
      <c r="AC345" s="56" t="b">
        <v>1</v>
      </c>
      <c r="AD345" s="56" t="b">
        <v>0</v>
      </c>
      <c r="AE345" s="54" t="s">
        <v>303</v>
      </c>
      <c r="AF345" s="58">
        <v>46237</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5.2139999999999999E-2</v>
      </c>
      <c r="BC345" s="60"/>
      <c r="BD345" s="61"/>
      <c r="BE345" s="62" t="s">
        <v>293</v>
      </c>
      <c r="BF345" s="35">
        <f t="shared" si="0"/>
        <v>4.0600000000000005</v>
      </c>
      <c r="BG345" s="35">
        <f t="shared" si="0"/>
        <v>6.0295000000000001E-2</v>
      </c>
      <c r="BH345" s="35" t="str">
        <f t="shared" si="775"/>
        <v>Low</v>
      </c>
      <c r="BI345" s="110">
        <f t="shared" si="776"/>
        <v>0</v>
      </c>
      <c r="BJ345" s="83" t="str">
        <f>VLOOKUP($F345,REP_Info!$D$6:$H$250,5,FALSE)</f>
        <v/>
      </c>
      <c r="BK345" s="30">
        <f t="shared" si="777"/>
        <v>12.0555</v>
      </c>
      <c r="BL345" s="30">
        <f t="shared" si="777"/>
        <v>11.6495</v>
      </c>
      <c r="BM345" s="30">
        <f t="shared" si="777"/>
        <v>11.4465</v>
      </c>
      <c r="BN345" s="29">
        <f t="shared" si="777"/>
        <v>11.378833333333333</v>
      </c>
      <c r="BO345" s="85" t="str">
        <f t="shared" si="2"/>
        <v>$$$</v>
      </c>
      <c r="BP345" s="88" t="str">
        <f t="shared" si="778"/>
        <v>$$$</v>
      </c>
      <c r="BQ345" s="88" t="str">
        <f t="shared" si="4"/>
        <v>$$$</v>
      </c>
      <c r="BR345" s="88" t="str">
        <f t="shared" si="5"/>
        <v>$$$</v>
      </c>
      <c r="BS345" s="29" t="e">
        <f t="shared" si="779"/>
        <v>#N/A</v>
      </c>
      <c r="BT345" s="29" t="e">
        <f t="shared" si="779"/>
        <v>#N/A</v>
      </c>
      <c r="BU345" s="29" t="e">
        <f t="shared" si="779"/>
        <v>#N/A</v>
      </c>
      <c r="BV345" s="29" t="e">
        <f t="shared" si="779"/>
        <v>#N/A</v>
      </c>
      <c r="BW345" s="29" t="e">
        <f t="shared" si="779"/>
        <v>#N/A</v>
      </c>
      <c r="BX345" s="29" t="e">
        <f t="shared" si="779"/>
        <v>#N/A</v>
      </c>
      <c r="BY345" s="29" t="e">
        <f t="shared" si="779"/>
        <v>#N/A</v>
      </c>
      <c r="BZ345" s="29" t="e">
        <f t="shared" si="779"/>
        <v>#N/A</v>
      </c>
      <c r="CA345" s="29" t="e">
        <f t="shared" si="779"/>
        <v>#N/A</v>
      </c>
      <c r="CB345" s="29" t="e">
        <f t="shared" si="779"/>
        <v>#N/A</v>
      </c>
      <c r="CC345" s="29" t="e">
        <f t="shared" si="779"/>
        <v>#N/A</v>
      </c>
      <c r="CD345" s="29" t="e">
        <f t="shared" si="779"/>
        <v>#N/A</v>
      </c>
      <c r="CE345" s="6" t="str">
        <f t="shared" si="616"/>
        <v/>
      </c>
      <c r="CF345" s="27" t="e">
        <f>IF(AND(CI345,NOT(AD345)),LOOKUP(CF$5,{0,750,1500},H345:J345),"")</f>
        <v>#N/A</v>
      </c>
      <c r="CG345" s="6" t="str">
        <f t="shared" si="617"/>
        <v/>
      </c>
      <c r="CH345" t="e">
        <f t="shared" si="780"/>
        <v>#N/A</v>
      </c>
      <c r="CI345" t="e">
        <f t="shared" si="781"/>
        <v>#N/A</v>
      </c>
      <c r="CJ345" s="6" t="e">
        <f t="shared" si="11"/>
        <v>#N/A</v>
      </c>
      <c r="CK345" s="6">
        <f t="shared" si="12"/>
        <v>1</v>
      </c>
      <c r="CL345" s="6">
        <f t="shared" si="26"/>
        <v>1</v>
      </c>
      <c r="CM345" s="6">
        <f t="shared" si="13"/>
        <v>1</v>
      </c>
      <c r="CN345" s="6">
        <f t="shared" si="14"/>
        <v>1</v>
      </c>
      <c r="CO345" s="6">
        <f t="shared" si="15"/>
        <v>1</v>
      </c>
      <c r="CP345" s="6">
        <f t="shared" si="16"/>
        <v>1</v>
      </c>
      <c r="CQ345" s="6">
        <f t="shared" si="782"/>
        <v>1</v>
      </c>
      <c r="CR345" s="81" t="str">
        <f t="shared" si="17"/>
        <v/>
      </c>
      <c r="CS345">
        <f t="shared" si="783"/>
        <v>0</v>
      </c>
      <c r="CT345">
        <f t="shared" si="615"/>
        <v>20</v>
      </c>
      <c r="CU345" t="str">
        <f t="shared" si="29"/>
        <v>rm</v>
      </c>
      <c r="CV345" s="81">
        <f t="shared" si="784"/>
        <v>240</v>
      </c>
      <c r="CW345" s="81">
        <f>(CV345/25)^1.5*(Calculator!$BU$4/10000)*CW$5</f>
        <v>76.803483157572401</v>
      </c>
      <c r="CX345" t="str">
        <f t="shared" si="785"/>
        <v>$20/rm</v>
      </c>
    </row>
    <row r="346" spans="2:102" x14ac:dyDescent="0.25">
      <c r="B346" s="115" t="s">
        <v>233</v>
      </c>
      <c r="C346" s="13">
        <v>46230.89166666667</v>
      </c>
      <c r="D346">
        <v>36630</v>
      </c>
      <c r="E346" s="54" t="s">
        <v>235</v>
      </c>
      <c r="F346" s="54" t="s">
        <v>1369</v>
      </c>
      <c r="G346" s="54" t="s">
        <v>1821</v>
      </c>
      <c r="H346" s="55">
        <v>11.3</v>
      </c>
      <c r="I346" s="55">
        <v>10.8</v>
      </c>
      <c r="J346" s="55">
        <v>10.6</v>
      </c>
      <c r="K346" s="54"/>
      <c r="L346" s="56" t="b">
        <v>0</v>
      </c>
      <c r="M346" s="56" t="b">
        <v>0</v>
      </c>
      <c r="N346" s="54">
        <v>1</v>
      </c>
      <c r="O346" s="54" t="s">
        <v>228</v>
      </c>
      <c r="P346" s="54">
        <v>3</v>
      </c>
      <c r="Q346" s="54">
        <v>12</v>
      </c>
      <c r="R346" s="54" t="s">
        <v>1810</v>
      </c>
      <c r="S346" s="54" t="s">
        <v>1824</v>
      </c>
      <c r="T346" s="54"/>
      <c r="U346" s="54" t="s">
        <v>1796</v>
      </c>
      <c r="V346" s="54" t="s">
        <v>1826</v>
      </c>
      <c r="W346" s="54" t="b">
        <v>0</v>
      </c>
      <c r="X346" s="54"/>
      <c r="Y346" s="57" t="s">
        <v>1827</v>
      </c>
      <c r="Z346" s="54" t="s">
        <v>1824</v>
      </c>
      <c r="AA346" s="54"/>
      <c r="AB346" s="54" t="s">
        <v>1825</v>
      </c>
      <c r="AC346" s="56" t="b">
        <v>1</v>
      </c>
      <c r="AD346" s="56" t="b">
        <v>0</v>
      </c>
      <c r="AE346" s="54" t="s">
        <v>303</v>
      </c>
      <c r="AF346" s="58">
        <v>46230</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5.1639999999999998E-2</v>
      </c>
      <c r="BC346" s="60"/>
      <c r="BD346" s="61"/>
      <c r="BE346" s="62" t="s">
        <v>293</v>
      </c>
      <c r="BF346" s="35">
        <f t="shared" si="0"/>
        <v>4.9000000000000004</v>
      </c>
      <c r="BG346" s="35">
        <f t="shared" si="0"/>
        <v>5.1461E-2</v>
      </c>
      <c r="BH346" s="35" t="str">
        <f t="shared" si="775"/>
        <v>Low</v>
      </c>
      <c r="BI346" s="110">
        <f t="shared" si="776"/>
        <v>0</v>
      </c>
      <c r="BJ346" s="83" t="str">
        <f>VLOOKUP($F346,REP_Info!$D$6:$H$250,5,FALSE)</f>
        <v/>
      </c>
      <c r="BK346" s="30">
        <f t="shared" si="777"/>
        <v>11.290100000000001</v>
      </c>
      <c r="BL346" s="30">
        <f t="shared" si="777"/>
        <v>10.8001</v>
      </c>
      <c r="BM346" s="30">
        <f t="shared" si="777"/>
        <v>10.555099999999999</v>
      </c>
      <c r="BN346" s="29">
        <f t="shared" si="777"/>
        <v>10.473433333333332</v>
      </c>
      <c r="BO346" s="85" t="str">
        <f t="shared" si="2"/>
        <v>$$$</v>
      </c>
      <c r="BP346" s="88" t="str">
        <f t="shared" si="778"/>
        <v>$$$</v>
      </c>
      <c r="BQ346" s="88" t="str">
        <f t="shared" si="4"/>
        <v>$$$</v>
      </c>
      <c r="BR346" s="88" t="str">
        <f t="shared" si="5"/>
        <v>$$$</v>
      </c>
      <c r="BS346" s="29" t="e">
        <f t="shared" si="779"/>
        <v>#N/A</v>
      </c>
      <c r="BT346" s="29" t="e">
        <f t="shared" si="779"/>
        <v>#N/A</v>
      </c>
      <c r="BU346" s="29" t="e">
        <f t="shared" si="779"/>
        <v>#N/A</v>
      </c>
      <c r="BV346" s="29" t="e">
        <f t="shared" si="779"/>
        <v>#N/A</v>
      </c>
      <c r="BW346" s="29" t="e">
        <f t="shared" si="779"/>
        <v>#N/A</v>
      </c>
      <c r="BX346" s="29" t="e">
        <f t="shared" si="779"/>
        <v>#N/A</v>
      </c>
      <c r="BY346" s="29" t="e">
        <f t="shared" si="779"/>
        <v>#N/A</v>
      </c>
      <c r="BZ346" s="29" t="e">
        <f t="shared" si="779"/>
        <v>#N/A</v>
      </c>
      <c r="CA346" s="29" t="e">
        <f t="shared" si="779"/>
        <v>#N/A</v>
      </c>
      <c r="CB346" s="29" t="e">
        <f t="shared" si="779"/>
        <v>#N/A</v>
      </c>
      <c r="CC346" s="29" t="e">
        <f t="shared" si="779"/>
        <v>#N/A</v>
      </c>
      <c r="CD346" s="29" t="e">
        <f t="shared" si="779"/>
        <v>#N/A</v>
      </c>
      <c r="CE346" s="6" t="str">
        <f t="shared" si="616"/>
        <v/>
      </c>
      <c r="CF346" s="27" t="e">
        <f>IF(AND(CI346,NOT(AD346)),LOOKUP(CF$5,{0,750,1500},H346:J346),"")</f>
        <v>#N/A</v>
      </c>
      <c r="CG346" s="6" t="str">
        <f t="shared" si="617"/>
        <v/>
      </c>
      <c r="CH346" t="e">
        <f t="shared" si="780"/>
        <v>#N/A</v>
      </c>
      <c r="CI346" t="e">
        <f t="shared" si="781"/>
        <v>#N/A</v>
      </c>
      <c r="CJ346" s="6" t="e">
        <f t="shared" si="11"/>
        <v>#N/A</v>
      </c>
      <c r="CK346" s="6">
        <f t="shared" si="12"/>
        <v>1</v>
      </c>
      <c r="CL346" s="6">
        <f t="shared" si="26"/>
        <v>1</v>
      </c>
      <c r="CM346" s="6">
        <f t="shared" si="13"/>
        <v>1</v>
      </c>
      <c r="CN346" s="6">
        <f t="shared" si="14"/>
        <v>1</v>
      </c>
      <c r="CO346" s="6">
        <f t="shared" si="15"/>
        <v>1</v>
      </c>
      <c r="CP346" s="6">
        <f t="shared" si="16"/>
        <v>1</v>
      </c>
      <c r="CQ346" s="6">
        <f t="shared" si="782"/>
        <v>1</v>
      </c>
      <c r="CR346" s="81" t="str">
        <f t="shared" si="17"/>
        <v/>
      </c>
      <c r="CS346">
        <f t="shared" si="783"/>
        <v>0</v>
      </c>
      <c r="CT346">
        <f t="shared" si="615"/>
        <v>20</v>
      </c>
      <c r="CU346" t="str">
        <f t="shared" si="29"/>
        <v>rm</v>
      </c>
      <c r="CV346" s="81">
        <f t="shared" si="784"/>
        <v>240</v>
      </c>
      <c r="CW346" s="81">
        <f>(CV346/25)^1.5*(Calculator!$BU$4/10000)*CW$5</f>
        <v>76.803483157572401</v>
      </c>
      <c r="CX346" t="str">
        <f t="shared" si="785"/>
        <v>$20/rm</v>
      </c>
    </row>
    <row r="348" spans="2:102" x14ac:dyDescent="0.25">
      <c r="D348" t="s">
        <v>793</v>
      </c>
      <c r="BJ348" t="s">
        <v>793</v>
      </c>
    </row>
  </sheetData>
  <sheetProtection sort="0" autoFilter="0"/>
  <sortState xmlns:xlrd2="http://schemas.microsoft.com/office/spreadsheetml/2017/richdata2" ref="B8:CQ346">
    <sortCondition ref="F8:F346"/>
    <sortCondition ref="D8:D346"/>
  </sortState>
  <conditionalFormatting sqref="A1">
    <cfRule type="expression" dxfId="6" priority="43">
      <formula>AND(NOW()&gt;$C$3)</formula>
    </cfRule>
  </conditionalFormatting>
  <conditionalFormatting sqref="G8:G346">
    <cfRule type="expression" dxfId="5" priority="45">
      <formula>$B8&lt;&gt;"PTC"</formula>
    </cfRule>
  </conditionalFormatting>
  <conditionalFormatting sqref="H8:J346">
    <cfRule type="expression" dxfId="4" priority="47">
      <formula>NOT(H8=ROUND(BK8,1))</formula>
    </cfRule>
  </conditionalFormatting>
  <conditionalFormatting sqref="L8:L346 AC8:AD346">
    <cfRule type="cellIs" dxfId="3" priority="49" operator="equal">
      <formula>FALSE</formula>
    </cfRule>
    <cfRule type="cellIs" dxfId="2" priority="51" operator="equal">
      <formula>TRUE</formula>
    </cfRule>
  </conditionalFormatting>
  <conditionalFormatting sqref="BC8:BD346">
    <cfRule type="expression" dxfId="1" priority="42">
      <formula>ABS(BF8-BC8)&gt;0.00009</formula>
    </cfRule>
  </conditionalFormatting>
  <conditionalFormatting sqref="BE8:BE346">
    <cfRule type="cellIs" dxfId="0" priority="26" operator="equal">
      <formula>"?"</formula>
    </cfRule>
  </conditionalFormatting>
  <conditionalFormatting sqref="BK8:BN346 BS8:CD346">
    <cfRule type="colorScale" priority="27">
      <colorScale>
        <cfvo type="num" val="5"/>
        <cfvo type="percentile" val="50"/>
        <cfvo type="num" val="16"/>
        <color rgb="FF63BE7B"/>
        <color theme="0"/>
        <color rgb="FFF8696B"/>
      </colorScale>
    </cfRule>
  </conditionalFormatting>
  <conditionalFormatting sqref="BO8:BO346">
    <cfRule type="colorScale" priority="14190">
      <colorScale>
        <cfvo type="min"/>
        <cfvo type="percentile" val="50"/>
        <cfvo type="max"/>
        <color rgb="FF63BE7B"/>
        <color theme="0"/>
        <color rgb="FFF8696B"/>
      </colorScale>
    </cfRule>
  </conditionalFormatting>
  <conditionalFormatting sqref="BP8:BQ346">
    <cfRule type="colorScale" priority="14192">
      <colorScale>
        <cfvo type="min"/>
        <cfvo type="percentile" val="50"/>
        <cfvo type="max"/>
        <color rgb="FF63BE7B"/>
        <color theme="0"/>
        <color rgb="FFF8696B"/>
      </colorScale>
    </cfRule>
  </conditionalFormatting>
  <conditionalFormatting sqref="BR8:BR346">
    <cfRule type="colorScale" priority="14194">
      <colorScale>
        <cfvo type="min"/>
        <cfvo type="percentile" val="50"/>
        <cfvo type="max"/>
        <color rgb="FF63BE7B"/>
        <color theme="0"/>
        <color rgb="FFF8696B"/>
      </colorScale>
    </cfRule>
  </conditionalFormatting>
  <dataValidations count="3">
    <dataValidation type="list" allowBlank="1" showInputMessage="1" showErrorMessage="1" sqref="L8:M346 AC8:AD346 W8:W346" xr:uid="{00000000-0002-0000-0100-000000000000}">
      <formula1>$L$4:$L$5</formula1>
    </dataValidation>
    <dataValidation type="list" allowBlank="1" showInputMessage="1" showErrorMessage="1" sqref="O8:O346" xr:uid="{00000000-0002-0000-0100-000001000000}">
      <formula1>$O$3:$O$5</formula1>
    </dataValidation>
    <dataValidation type="list" allowBlank="1" showInputMessage="1" showErrorMessage="1" sqref="E8:E346"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6"/>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794</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795</v>
      </c>
      <c r="G2" s="5" t="s">
        <v>796</v>
      </c>
      <c r="H2" s="5" t="s">
        <v>797</v>
      </c>
      <c r="I2" s="5" t="s">
        <v>798</v>
      </c>
      <c r="J2" s="5" t="s">
        <v>799</v>
      </c>
      <c r="K2" s="5" t="s">
        <v>800</v>
      </c>
      <c r="L2" s="5" t="s">
        <v>801</v>
      </c>
      <c r="M2" s="5" t="s">
        <v>802</v>
      </c>
      <c r="N2" s="5" t="s">
        <v>803</v>
      </c>
      <c r="O2" s="5" t="s">
        <v>804</v>
      </c>
      <c r="P2" s="5" t="s">
        <v>805</v>
      </c>
      <c r="Q2" s="5" t="s">
        <v>806</v>
      </c>
      <c r="R2" s="5" t="s">
        <v>807</v>
      </c>
      <c r="S2" s="5" t="s">
        <v>808</v>
      </c>
      <c r="T2" s="5" t="s">
        <v>809</v>
      </c>
      <c r="U2" s="5" t="s">
        <v>810</v>
      </c>
      <c r="V2" s="5" t="s">
        <v>811</v>
      </c>
      <c r="W2" s="5" t="s">
        <v>812</v>
      </c>
      <c r="X2" s="5" t="s">
        <v>813</v>
      </c>
      <c r="Y2" s="5" t="s">
        <v>814</v>
      </c>
      <c r="Z2" s="5" t="s">
        <v>815</v>
      </c>
      <c r="AA2" s="5" t="s">
        <v>150</v>
      </c>
      <c r="AB2" s="5" t="s">
        <v>816</v>
      </c>
      <c r="AC2" s="5" t="s">
        <v>152</v>
      </c>
      <c r="AD2" s="5" t="s">
        <v>817</v>
      </c>
      <c r="AE2" s="5" t="s">
        <v>818</v>
      </c>
      <c r="AF2" s="5" t="s">
        <v>819</v>
      </c>
      <c r="AG2" s="5" t="s">
        <v>820</v>
      </c>
      <c r="AH2" s="5" t="s">
        <v>821</v>
      </c>
      <c r="AI2" s="5" t="s">
        <v>822</v>
      </c>
      <c r="AJ2" s="5" t="s">
        <v>160</v>
      </c>
      <c r="AK2" s="5" t="s">
        <v>823</v>
      </c>
      <c r="AL2" s="5" t="s">
        <v>824</v>
      </c>
      <c r="AM2" s="137" t="s">
        <v>825</v>
      </c>
      <c r="AN2" s="5" t="s">
        <v>826</v>
      </c>
      <c r="AO2" s="5" t="s">
        <v>827</v>
      </c>
      <c r="AP2" s="5" t="s">
        <v>828</v>
      </c>
    </row>
    <row r="3" spans="1:42" x14ac:dyDescent="0.25">
      <c r="B3" s="273">
        <f>COUNTA(B6:B214)</f>
        <v>209</v>
      </c>
      <c r="F3" s="5" t="s">
        <v>829</v>
      </c>
      <c r="G3" s="5" t="s">
        <v>830</v>
      </c>
      <c r="H3" s="5" t="s">
        <v>831</v>
      </c>
      <c r="I3" s="5" t="s">
        <v>832</v>
      </c>
      <c r="J3" s="5" t="s">
        <v>833</v>
      </c>
      <c r="K3" s="5" t="s">
        <v>833</v>
      </c>
      <c r="L3" s="5" t="s">
        <v>833</v>
      </c>
      <c r="M3" s="5" t="s">
        <v>834</v>
      </c>
      <c r="O3" s="5" t="s">
        <v>835</v>
      </c>
      <c r="P3" s="5" t="s">
        <v>836</v>
      </c>
      <c r="Q3" s="5" t="s">
        <v>837</v>
      </c>
      <c r="R3" s="5" t="s">
        <v>838</v>
      </c>
      <c r="S3" s="5" t="s">
        <v>839</v>
      </c>
      <c r="T3" s="5" t="s">
        <v>840</v>
      </c>
      <c r="U3" s="5" t="s">
        <v>841</v>
      </c>
      <c r="V3" s="5" t="s">
        <v>842</v>
      </c>
      <c r="W3" s="5" t="s">
        <v>843</v>
      </c>
      <c r="X3" s="5" t="s">
        <v>844</v>
      </c>
      <c r="Y3" s="5" t="s">
        <v>845</v>
      </c>
      <c r="Z3" s="5" t="s">
        <v>846</v>
      </c>
      <c r="AA3" s="5" t="s">
        <v>847</v>
      </c>
      <c r="AB3" s="5" t="s">
        <v>848</v>
      </c>
      <c r="AC3" s="5" t="s">
        <v>849</v>
      </c>
      <c r="AD3" s="5" t="s">
        <v>850</v>
      </c>
      <c r="AE3" s="5" t="s">
        <v>851</v>
      </c>
      <c r="AF3" s="5" t="s">
        <v>852</v>
      </c>
      <c r="AG3" s="5" t="s">
        <v>853</v>
      </c>
      <c r="AH3" s="5" t="s">
        <v>854</v>
      </c>
      <c r="AI3" s="5" t="s">
        <v>855</v>
      </c>
      <c r="AJ3" s="5" t="s">
        <v>856</v>
      </c>
      <c r="AK3" s="5" t="s">
        <v>857</v>
      </c>
      <c r="AL3" s="5" t="s">
        <v>858</v>
      </c>
      <c r="AM3" s="137" t="s">
        <v>859</v>
      </c>
    </row>
    <row r="4" spans="1:42" ht="15" customHeight="1" x14ac:dyDescent="0.25"/>
    <row r="5" spans="1:42" s="269" customFormat="1" ht="90" customHeight="1" x14ac:dyDescent="0.25">
      <c r="A5" s="5"/>
      <c r="B5" s="268" t="s">
        <v>860</v>
      </c>
      <c r="C5" s="264" t="s">
        <v>861</v>
      </c>
      <c r="D5" s="264" t="s">
        <v>862</v>
      </c>
      <c r="E5" s="264" t="s">
        <v>863</v>
      </c>
      <c r="F5" s="106" t="s">
        <v>131</v>
      </c>
      <c r="G5" s="106" t="s">
        <v>132</v>
      </c>
      <c r="H5" s="106" t="s">
        <v>133</v>
      </c>
      <c r="I5" s="106" t="s">
        <v>134</v>
      </c>
      <c r="J5" s="106" t="s">
        <v>137</v>
      </c>
      <c r="K5" s="106" t="s">
        <v>136</v>
      </c>
      <c r="L5" s="106" t="s">
        <v>135</v>
      </c>
      <c r="M5" s="106" t="s">
        <v>138</v>
      </c>
      <c r="N5" s="106" t="s">
        <v>864</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865</v>
      </c>
      <c r="AM5" s="106" t="s">
        <v>866</v>
      </c>
      <c r="AN5" s="106" t="s">
        <v>826</v>
      </c>
      <c r="AO5" s="106" t="s">
        <v>111</v>
      </c>
      <c r="AP5" s="106" t="s">
        <v>867</v>
      </c>
    </row>
    <row r="6" spans="1:42" x14ac:dyDescent="0.25">
      <c r="B6" s="5" t="s">
        <v>965</v>
      </c>
      <c r="C6" s="5" t="s">
        <v>1596</v>
      </c>
      <c r="D6" s="271">
        <v>45332</v>
      </c>
      <c r="E6" s="5" t="s">
        <v>1597</v>
      </c>
      <c r="F6" s="265" t="s">
        <v>871</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729</v>
      </c>
    </row>
    <row r="7" spans="1:42" x14ac:dyDescent="0.25">
      <c r="B7" s="5" t="s">
        <v>294</v>
      </c>
      <c r="C7" s="5" t="s">
        <v>299</v>
      </c>
      <c r="D7" s="271">
        <v>45568</v>
      </c>
      <c r="E7" s="5" t="s">
        <v>868</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729</v>
      </c>
    </row>
    <row r="8" spans="1:42" x14ac:dyDescent="0.25">
      <c r="B8" s="5" t="s">
        <v>305</v>
      </c>
      <c r="C8" s="5" t="s">
        <v>315</v>
      </c>
      <c r="D8" s="271">
        <v>46081</v>
      </c>
      <c r="E8" s="5" t="s">
        <v>869</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729</v>
      </c>
    </row>
    <row r="9" spans="1:42" x14ac:dyDescent="0.25">
      <c r="B9" s="5" t="s">
        <v>305</v>
      </c>
      <c r="C9" s="5" t="s">
        <v>318</v>
      </c>
      <c r="D9" s="271">
        <v>46081</v>
      </c>
      <c r="E9" s="5" t="s">
        <v>869</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729</v>
      </c>
    </row>
    <row r="10" spans="1:42" x14ac:dyDescent="0.25">
      <c r="B10" s="5" t="s">
        <v>305</v>
      </c>
      <c r="C10" s="5" t="s">
        <v>1828</v>
      </c>
      <c r="D10" s="271">
        <v>45883</v>
      </c>
      <c r="E10" s="5" t="s">
        <v>1693</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729</v>
      </c>
    </row>
    <row r="11" spans="1:42" x14ac:dyDescent="0.25">
      <c r="B11" s="5" t="s">
        <v>305</v>
      </c>
      <c r="C11" s="5" t="s">
        <v>1829</v>
      </c>
      <c r="D11" s="271">
        <v>45883</v>
      </c>
      <c r="E11" s="5" t="s">
        <v>1693</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729</v>
      </c>
    </row>
    <row r="12" spans="1:42" x14ac:dyDescent="0.25">
      <c r="B12" s="5" t="s">
        <v>305</v>
      </c>
      <c r="C12" s="5" t="s">
        <v>1830</v>
      </c>
      <c r="D12" s="271">
        <v>45664</v>
      </c>
      <c r="E12" s="5" t="s">
        <v>1693</v>
      </c>
      <c r="F12" s="265" t="s">
        <v>871</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729</v>
      </c>
    </row>
    <row r="13" spans="1:42" x14ac:dyDescent="0.25">
      <c r="B13" s="5" t="s">
        <v>305</v>
      </c>
      <c r="C13" s="5" t="s">
        <v>1831</v>
      </c>
      <c r="D13" s="271">
        <v>45664</v>
      </c>
      <c r="E13" s="5" t="s">
        <v>1693</v>
      </c>
      <c r="F13" s="265" t="s">
        <v>871</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729</v>
      </c>
    </row>
    <row r="14" spans="1:42" x14ac:dyDescent="0.25">
      <c r="B14" s="5" t="s">
        <v>305</v>
      </c>
      <c r="C14" s="5" t="s">
        <v>330</v>
      </c>
      <c r="D14" s="271">
        <v>45419</v>
      </c>
      <c r="E14" s="5" t="s">
        <v>870</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729</v>
      </c>
    </row>
    <row r="15" spans="1:42" x14ac:dyDescent="0.25">
      <c r="B15" s="5" t="s">
        <v>305</v>
      </c>
      <c r="C15" s="5" t="s">
        <v>322</v>
      </c>
      <c r="D15" s="271">
        <v>45419</v>
      </c>
      <c r="E15" s="5" t="s">
        <v>870</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729</v>
      </c>
    </row>
    <row r="16" spans="1:42" x14ac:dyDescent="0.25">
      <c r="B16" s="5" t="s">
        <v>305</v>
      </c>
      <c r="C16" s="5" t="s">
        <v>325</v>
      </c>
      <c r="D16" s="271">
        <v>45419</v>
      </c>
      <c r="E16" s="5" t="s">
        <v>870</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729</v>
      </c>
    </row>
    <row r="17" spans="2:42" x14ac:dyDescent="0.25">
      <c r="B17" s="5" t="s">
        <v>305</v>
      </c>
      <c r="C17" s="5" t="s">
        <v>328</v>
      </c>
      <c r="D17" s="271">
        <v>45419</v>
      </c>
      <c r="E17" s="5" t="s">
        <v>870</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729</v>
      </c>
    </row>
    <row r="18" spans="2:42" x14ac:dyDescent="0.25">
      <c r="B18" s="5" t="s">
        <v>332</v>
      </c>
      <c r="C18" s="5" t="s">
        <v>1866</v>
      </c>
      <c r="D18" s="271">
        <v>46218</v>
      </c>
      <c r="E18" s="5" t="s">
        <v>1867</v>
      </c>
      <c r="F18" s="265" t="s">
        <v>871</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873</v>
      </c>
      <c r="AH18" s="265"/>
      <c r="AI18" s="265"/>
      <c r="AJ18" s="265"/>
      <c r="AK18" s="265"/>
      <c r="AL18" s="265"/>
      <c r="AM18" s="265"/>
      <c r="AP18" s="137" t="s">
        <v>729</v>
      </c>
    </row>
    <row r="19" spans="2:42" x14ac:dyDescent="0.25">
      <c r="B19" s="5" t="s">
        <v>332</v>
      </c>
      <c r="C19" s="5" t="s">
        <v>1868</v>
      </c>
      <c r="D19" s="271">
        <v>46218</v>
      </c>
      <c r="E19" s="5" t="s">
        <v>1867</v>
      </c>
      <c r="F19" s="265" t="s">
        <v>871</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873</v>
      </c>
      <c r="AH19" s="265"/>
      <c r="AI19" s="265"/>
      <c r="AJ19" s="265"/>
      <c r="AK19" s="265"/>
      <c r="AL19" s="265"/>
      <c r="AM19" s="265"/>
      <c r="AP19" s="137" t="s">
        <v>729</v>
      </c>
    </row>
    <row r="20" spans="2:42" x14ac:dyDescent="0.25">
      <c r="B20" s="5" t="s">
        <v>332</v>
      </c>
      <c r="C20" s="5" t="s">
        <v>1869</v>
      </c>
      <c r="D20" s="271">
        <v>46218</v>
      </c>
      <c r="E20" s="5" t="s">
        <v>1867</v>
      </c>
      <c r="F20" s="265" t="s">
        <v>871</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873</v>
      </c>
      <c r="AH20" s="265"/>
      <c r="AI20" s="265"/>
      <c r="AJ20" s="265"/>
      <c r="AK20" s="265"/>
      <c r="AL20" s="265"/>
      <c r="AM20" s="265"/>
      <c r="AP20" s="137" t="s">
        <v>729</v>
      </c>
    </row>
    <row r="21" spans="2:42" x14ac:dyDescent="0.25">
      <c r="B21" s="5" t="s">
        <v>332</v>
      </c>
      <c r="C21" s="5" t="s">
        <v>336</v>
      </c>
      <c r="D21" s="271">
        <v>46037</v>
      </c>
      <c r="E21" s="5" t="s">
        <v>872</v>
      </c>
      <c r="F21" s="265" t="s">
        <v>871</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873</v>
      </c>
      <c r="AH21" s="265"/>
      <c r="AI21" s="265"/>
      <c r="AJ21" s="265"/>
      <c r="AK21" s="265"/>
      <c r="AL21" s="265"/>
      <c r="AM21" s="265"/>
      <c r="AP21" s="137" t="s">
        <v>729</v>
      </c>
    </row>
    <row r="22" spans="2:42" x14ac:dyDescent="0.25">
      <c r="B22" s="5" t="s">
        <v>332</v>
      </c>
      <c r="C22" s="5" t="s">
        <v>1870</v>
      </c>
      <c r="D22" s="271">
        <v>45839</v>
      </c>
      <c r="E22" s="5" t="s">
        <v>1871</v>
      </c>
      <c r="F22" s="265" t="s">
        <v>871</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873</v>
      </c>
      <c r="AH22" s="265"/>
      <c r="AI22" s="265"/>
      <c r="AJ22" s="265"/>
      <c r="AK22" s="265"/>
      <c r="AL22" s="265"/>
      <c r="AM22" s="265"/>
      <c r="AP22" s="137" t="s">
        <v>729</v>
      </c>
    </row>
    <row r="23" spans="2:42" x14ac:dyDescent="0.25">
      <c r="B23" s="5" t="s">
        <v>332</v>
      </c>
      <c r="C23" s="5" t="s">
        <v>346</v>
      </c>
      <c r="D23" s="271">
        <v>45464</v>
      </c>
      <c r="E23" s="5" t="s">
        <v>874</v>
      </c>
      <c r="F23" s="265" t="s">
        <v>871</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873</v>
      </c>
      <c r="AH23" s="265"/>
      <c r="AI23" s="265"/>
      <c r="AJ23" s="265"/>
      <c r="AK23" s="265"/>
      <c r="AL23" s="265"/>
      <c r="AM23" s="265"/>
      <c r="AP23" s="137" t="s">
        <v>729</v>
      </c>
    </row>
    <row r="24" spans="2:42" x14ac:dyDescent="0.25">
      <c r="B24" s="5" t="s">
        <v>332</v>
      </c>
      <c r="C24" s="5" t="s">
        <v>361</v>
      </c>
      <c r="D24" s="271">
        <v>45464</v>
      </c>
      <c r="E24" s="5" t="s">
        <v>875</v>
      </c>
      <c r="F24" s="265" t="s">
        <v>871</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873</v>
      </c>
      <c r="AH24" s="265"/>
      <c r="AI24" s="265"/>
      <c r="AJ24" s="265"/>
      <c r="AK24" s="265"/>
      <c r="AL24" s="265"/>
      <c r="AM24" s="265"/>
      <c r="AP24" s="137" t="s">
        <v>729</v>
      </c>
    </row>
    <row r="25" spans="2:42" x14ac:dyDescent="0.25">
      <c r="B25" s="5" t="s">
        <v>332</v>
      </c>
      <c r="C25" s="5" t="s">
        <v>340</v>
      </c>
      <c r="D25" s="271">
        <v>45464</v>
      </c>
      <c r="E25" s="5" t="s">
        <v>876</v>
      </c>
      <c r="F25" s="265" t="s">
        <v>871</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873</v>
      </c>
      <c r="AH25" s="265"/>
      <c r="AI25" s="265"/>
      <c r="AJ25" s="265"/>
      <c r="AK25" s="265"/>
      <c r="AL25" s="265"/>
      <c r="AM25" s="265"/>
      <c r="AP25" s="137" t="s">
        <v>729</v>
      </c>
    </row>
    <row r="26" spans="2:42" x14ac:dyDescent="0.25">
      <c r="B26" s="5" t="s">
        <v>332</v>
      </c>
      <c r="C26" s="5" t="s">
        <v>351</v>
      </c>
      <c r="D26" s="271">
        <v>45464</v>
      </c>
      <c r="E26" s="5" t="s">
        <v>877</v>
      </c>
      <c r="F26" s="265" t="s">
        <v>871</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873</v>
      </c>
      <c r="AH26" s="265"/>
      <c r="AI26" s="265"/>
      <c r="AJ26" s="265"/>
      <c r="AK26" s="265"/>
      <c r="AL26" s="265"/>
      <c r="AM26" s="265"/>
      <c r="AP26" s="137" t="s">
        <v>729</v>
      </c>
    </row>
    <row r="27" spans="2:42" x14ac:dyDescent="0.25">
      <c r="B27" s="5" t="s">
        <v>332</v>
      </c>
      <c r="C27" s="5" t="s">
        <v>357</v>
      </c>
      <c r="D27" s="271">
        <v>45464</v>
      </c>
      <c r="E27" s="5" t="s">
        <v>878</v>
      </c>
      <c r="F27" s="265" t="s">
        <v>871</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873</v>
      </c>
      <c r="AH27" s="265"/>
      <c r="AI27" s="265"/>
      <c r="AJ27" s="265"/>
      <c r="AK27" s="265"/>
      <c r="AL27" s="265"/>
      <c r="AM27" s="265"/>
      <c r="AP27" s="137" t="s">
        <v>729</v>
      </c>
    </row>
    <row r="28" spans="2:42" x14ac:dyDescent="0.25">
      <c r="B28" s="5" t="s">
        <v>365</v>
      </c>
      <c r="C28" s="5" t="s">
        <v>369</v>
      </c>
      <c r="D28" s="271">
        <v>46096</v>
      </c>
      <c r="E28" s="5" t="s">
        <v>879</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729</v>
      </c>
    </row>
    <row r="29" spans="2:42" x14ac:dyDescent="0.25">
      <c r="B29" s="5" t="s">
        <v>375</v>
      </c>
      <c r="C29" s="5" t="s">
        <v>380</v>
      </c>
      <c r="D29" s="271">
        <v>46119</v>
      </c>
      <c r="E29" s="5" t="s">
        <v>880</v>
      </c>
      <c r="F29" s="265" t="s">
        <v>871</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729</v>
      </c>
    </row>
    <row r="30" spans="2:42" x14ac:dyDescent="0.25">
      <c r="B30" s="5" t="s">
        <v>386</v>
      </c>
      <c r="C30" s="5" t="s">
        <v>1872</v>
      </c>
      <c r="D30" s="271">
        <v>45687</v>
      </c>
      <c r="E30" s="5" t="s">
        <v>881</v>
      </c>
      <c r="F30" s="265" t="s">
        <v>871</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729</v>
      </c>
    </row>
    <row r="31" spans="2:42" x14ac:dyDescent="0.25">
      <c r="B31" s="5" t="s">
        <v>386</v>
      </c>
      <c r="C31" s="5" t="s">
        <v>1873</v>
      </c>
      <c r="D31" s="271">
        <v>45678</v>
      </c>
      <c r="E31" s="5" t="s">
        <v>881</v>
      </c>
      <c r="F31" s="265" t="s">
        <v>871</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729</v>
      </c>
    </row>
    <row r="32" spans="2:42" x14ac:dyDescent="0.25">
      <c r="B32" s="5" t="s">
        <v>386</v>
      </c>
      <c r="C32" s="5" t="s">
        <v>1628</v>
      </c>
      <c r="D32" s="271">
        <v>45594</v>
      </c>
      <c r="E32" s="5" t="s">
        <v>881</v>
      </c>
      <c r="F32" s="265" t="s">
        <v>871</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729</v>
      </c>
    </row>
    <row r="33" spans="2:42" x14ac:dyDescent="0.25">
      <c r="B33" s="5" t="s">
        <v>386</v>
      </c>
      <c r="C33" s="5" t="s">
        <v>1629</v>
      </c>
      <c r="D33" s="271">
        <v>45594</v>
      </c>
      <c r="E33" s="5" t="s">
        <v>881</v>
      </c>
      <c r="F33" s="265" t="s">
        <v>871</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729</v>
      </c>
    </row>
    <row r="34" spans="2:42" x14ac:dyDescent="0.25">
      <c r="B34" s="5" t="s">
        <v>386</v>
      </c>
      <c r="C34" s="5" t="s">
        <v>404</v>
      </c>
      <c r="D34" s="271">
        <v>45317</v>
      </c>
      <c r="E34" s="5" t="s">
        <v>882</v>
      </c>
      <c r="F34" s="265" t="s">
        <v>871</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729</v>
      </c>
    </row>
    <row r="35" spans="2:42" x14ac:dyDescent="0.25">
      <c r="B35" s="5" t="s">
        <v>386</v>
      </c>
      <c r="C35" s="5" t="s">
        <v>397</v>
      </c>
      <c r="D35" s="271">
        <v>45317</v>
      </c>
      <c r="E35" s="5" t="s">
        <v>882</v>
      </c>
      <c r="F35" s="265" t="s">
        <v>871</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729</v>
      </c>
    </row>
    <row r="36" spans="2:42" x14ac:dyDescent="0.25">
      <c r="B36" s="5" t="s">
        <v>386</v>
      </c>
      <c r="C36" s="5" t="s">
        <v>1630</v>
      </c>
      <c r="D36" s="271">
        <v>45275</v>
      </c>
      <c r="E36" s="5" t="s">
        <v>882</v>
      </c>
      <c r="F36" s="265" t="s">
        <v>871</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729</v>
      </c>
    </row>
    <row r="37" spans="2:42" x14ac:dyDescent="0.25">
      <c r="B37" s="5" t="s">
        <v>386</v>
      </c>
      <c r="C37" s="5" t="s">
        <v>401</v>
      </c>
      <c r="D37" s="271">
        <v>45275</v>
      </c>
      <c r="E37" s="5" t="s">
        <v>882</v>
      </c>
      <c r="F37" s="265" t="s">
        <v>871</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729</v>
      </c>
    </row>
    <row r="38" spans="2:42" x14ac:dyDescent="0.25">
      <c r="B38" s="5" t="s">
        <v>386</v>
      </c>
      <c r="C38" s="5" t="s">
        <v>1631</v>
      </c>
      <c r="D38" s="271">
        <v>45275</v>
      </c>
      <c r="E38" s="5" t="s">
        <v>882</v>
      </c>
      <c r="F38" s="265" t="s">
        <v>871</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729</v>
      </c>
    </row>
    <row r="39" spans="2:42" x14ac:dyDescent="0.25">
      <c r="B39" s="5" t="s">
        <v>386</v>
      </c>
      <c r="C39" s="5" t="s">
        <v>391</v>
      </c>
      <c r="D39" s="271">
        <v>45275</v>
      </c>
      <c r="E39" s="5" t="s">
        <v>882</v>
      </c>
      <c r="F39" s="265" t="s">
        <v>871</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729</v>
      </c>
    </row>
    <row r="40" spans="2:42" x14ac:dyDescent="0.25">
      <c r="B40" s="5" t="s">
        <v>409</v>
      </c>
      <c r="C40" s="5" t="s">
        <v>2201</v>
      </c>
      <c r="D40" s="271">
        <v>46237</v>
      </c>
      <c r="E40" s="5" t="s">
        <v>883</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729</v>
      </c>
    </row>
    <row r="41" spans="2:42" x14ac:dyDescent="0.25">
      <c r="B41" s="5" t="s">
        <v>409</v>
      </c>
      <c r="C41" s="5" t="s">
        <v>2108</v>
      </c>
      <c r="D41" s="271">
        <v>46233</v>
      </c>
      <c r="E41" s="5" t="s">
        <v>883</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729</v>
      </c>
    </row>
    <row r="42" spans="2:42" x14ac:dyDescent="0.25">
      <c r="B42" s="5" t="s">
        <v>409</v>
      </c>
      <c r="C42" s="5" t="s">
        <v>2109</v>
      </c>
      <c r="D42" s="271">
        <v>46233</v>
      </c>
      <c r="E42" s="5" t="s">
        <v>883</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729</v>
      </c>
    </row>
    <row r="43" spans="2:42" x14ac:dyDescent="0.25">
      <c r="B43" s="5" t="s">
        <v>409</v>
      </c>
      <c r="C43" s="5" t="s">
        <v>2110</v>
      </c>
      <c r="D43" s="271">
        <v>46233</v>
      </c>
      <c r="E43" s="5" t="s">
        <v>883</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729</v>
      </c>
    </row>
    <row r="44" spans="2:42" x14ac:dyDescent="0.25">
      <c r="B44" s="5" t="s">
        <v>409</v>
      </c>
      <c r="C44" s="5" t="s">
        <v>2111</v>
      </c>
      <c r="D44" s="271">
        <v>46233</v>
      </c>
      <c r="E44" s="5" t="s">
        <v>883</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729</v>
      </c>
    </row>
    <row r="45" spans="2:42" x14ac:dyDescent="0.25">
      <c r="B45" s="5" t="s">
        <v>409</v>
      </c>
      <c r="C45" s="5" t="s">
        <v>2017</v>
      </c>
      <c r="D45" s="271">
        <v>46232</v>
      </c>
      <c r="E45" s="5" t="s">
        <v>883</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729</v>
      </c>
    </row>
    <row r="46" spans="2:42" x14ac:dyDescent="0.25">
      <c r="B46" s="5" t="s">
        <v>409</v>
      </c>
      <c r="C46" s="5" t="s">
        <v>2018</v>
      </c>
      <c r="D46" s="271">
        <v>46232</v>
      </c>
      <c r="E46" s="5" t="s">
        <v>883</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729</v>
      </c>
    </row>
    <row r="47" spans="2:42" x14ac:dyDescent="0.25">
      <c r="B47" s="5" t="s">
        <v>409</v>
      </c>
      <c r="C47" s="5" t="s">
        <v>2019</v>
      </c>
      <c r="D47" s="271">
        <v>46232</v>
      </c>
      <c r="E47" s="5" t="s">
        <v>883</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729</v>
      </c>
    </row>
    <row r="48" spans="2:42" x14ac:dyDescent="0.25">
      <c r="B48" s="5" t="s">
        <v>409</v>
      </c>
      <c r="C48" s="5" t="s">
        <v>2020</v>
      </c>
      <c r="D48" s="271">
        <v>46232</v>
      </c>
      <c r="E48" s="5" t="s">
        <v>883</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729</v>
      </c>
    </row>
    <row r="49" spans="2:42" x14ac:dyDescent="0.25">
      <c r="B49" s="5" t="s">
        <v>409</v>
      </c>
      <c r="C49" s="5" t="s">
        <v>2000</v>
      </c>
      <c r="D49" s="271">
        <v>46227</v>
      </c>
      <c r="E49" s="5" t="s">
        <v>883</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729</v>
      </c>
    </row>
    <row r="50" spans="2:42" x14ac:dyDescent="0.25">
      <c r="B50" s="5" t="s">
        <v>409</v>
      </c>
      <c r="C50" s="5" t="s">
        <v>1832</v>
      </c>
      <c r="D50" s="271">
        <v>45847</v>
      </c>
      <c r="E50" s="5" t="s">
        <v>883</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729</v>
      </c>
    </row>
    <row r="51" spans="2:42" x14ac:dyDescent="0.25">
      <c r="B51" s="5" t="s">
        <v>424</v>
      </c>
      <c r="C51" s="5" t="s">
        <v>428</v>
      </c>
      <c r="D51" s="271">
        <v>45926</v>
      </c>
      <c r="E51" s="5" t="s">
        <v>884</v>
      </c>
      <c r="F51" s="265" t="s">
        <v>871</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729</v>
      </c>
    </row>
    <row r="52" spans="2:42" x14ac:dyDescent="0.25">
      <c r="B52" s="5" t="s">
        <v>441</v>
      </c>
      <c r="C52" s="5" t="s">
        <v>2202</v>
      </c>
      <c r="D52" s="271">
        <v>46237</v>
      </c>
      <c r="E52" s="5" t="s">
        <v>885</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886</v>
      </c>
      <c r="AH52" s="265"/>
      <c r="AI52" s="265"/>
      <c r="AJ52" s="265"/>
      <c r="AK52" s="265"/>
      <c r="AL52" s="265"/>
      <c r="AM52" s="265"/>
      <c r="AP52" s="137" t="s">
        <v>729</v>
      </c>
    </row>
    <row r="53" spans="2:42" x14ac:dyDescent="0.25">
      <c r="B53" s="5" t="s">
        <v>441</v>
      </c>
      <c r="C53" s="5" t="s">
        <v>2203</v>
      </c>
      <c r="D53" s="271">
        <v>46237</v>
      </c>
      <c r="E53" s="5" t="s">
        <v>885</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886</v>
      </c>
      <c r="AH53" s="265"/>
      <c r="AI53" s="265"/>
      <c r="AJ53" s="265"/>
      <c r="AK53" s="265"/>
      <c r="AL53" s="265"/>
      <c r="AM53" s="265"/>
      <c r="AP53" s="137" t="s">
        <v>729</v>
      </c>
    </row>
    <row r="54" spans="2:42" x14ac:dyDescent="0.25">
      <c r="B54" s="5" t="s">
        <v>441</v>
      </c>
      <c r="C54" s="5" t="s">
        <v>2204</v>
      </c>
      <c r="D54" s="271">
        <v>46237</v>
      </c>
      <c r="E54" s="5" t="s">
        <v>885</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886</v>
      </c>
      <c r="AH54" s="265"/>
      <c r="AI54" s="265"/>
      <c r="AJ54" s="265"/>
      <c r="AK54" s="265"/>
      <c r="AL54" s="265"/>
      <c r="AM54" s="265"/>
      <c r="AP54" s="137" t="s">
        <v>729</v>
      </c>
    </row>
    <row r="55" spans="2:42" x14ac:dyDescent="0.25">
      <c r="B55" s="5" t="s">
        <v>441</v>
      </c>
      <c r="C55" s="5" t="s">
        <v>2205</v>
      </c>
      <c r="D55" s="271">
        <v>46237</v>
      </c>
      <c r="E55" s="5" t="s">
        <v>885</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886</v>
      </c>
      <c r="AH55" s="265"/>
      <c r="AI55" s="265"/>
      <c r="AJ55" s="265"/>
      <c r="AK55" s="265"/>
      <c r="AL55" s="265"/>
      <c r="AM55" s="265"/>
      <c r="AP55" s="137" t="s">
        <v>729</v>
      </c>
    </row>
    <row r="56" spans="2:42" x14ac:dyDescent="0.25">
      <c r="B56" s="5" t="s">
        <v>441</v>
      </c>
      <c r="C56" s="5" t="s">
        <v>2206</v>
      </c>
      <c r="D56" s="271">
        <v>46237</v>
      </c>
      <c r="E56" s="5" t="s">
        <v>885</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886</v>
      </c>
      <c r="AH56" s="265"/>
      <c r="AI56" s="265"/>
      <c r="AJ56" s="265"/>
      <c r="AK56" s="265"/>
      <c r="AL56" s="265"/>
      <c r="AM56" s="265"/>
      <c r="AP56" s="137" t="s">
        <v>729</v>
      </c>
    </row>
    <row r="57" spans="2:42" x14ac:dyDescent="0.25">
      <c r="B57" s="5" t="s">
        <v>441</v>
      </c>
      <c r="C57" s="5" t="s">
        <v>2207</v>
      </c>
      <c r="D57" s="271">
        <v>46237</v>
      </c>
      <c r="E57" s="5" t="s">
        <v>885</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886</v>
      </c>
      <c r="AH57" s="265"/>
      <c r="AI57" s="265"/>
      <c r="AJ57" s="265"/>
      <c r="AK57" s="265"/>
      <c r="AL57" s="265"/>
      <c r="AM57" s="265"/>
      <c r="AP57" s="137" t="s">
        <v>729</v>
      </c>
    </row>
    <row r="58" spans="2:42" x14ac:dyDescent="0.25">
      <c r="B58" s="5" t="s">
        <v>441</v>
      </c>
      <c r="C58" s="5" t="s">
        <v>2208</v>
      </c>
      <c r="D58" s="271">
        <v>46237</v>
      </c>
      <c r="E58" s="5" t="s">
        <v>885</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886</v>
      </c>
      <c r="AH58" s="265"/>
      <c r="AI58" s="265"/>
      <c r="AJ58" s="265"/>
      <c r="AK58" s="265"/>
      <c r="AL58" s="265"/>
      <c r="AM58" s="265"/>
      <c r="AP58" s="137" t="s">
        <v>729</v>
      </c>
    </row>
    <row r="59" spans="2:42" x14ac:dyDescent="0.25">
      <c r="B59" s="5" t="s">
        <v>441</v>
      </c>
      <c r="C59" s="5" t="s">
        <v>2209</v>
      </c>
      <c r="D59" s="271">
        <v>46237</v>
      </c>
      <c r="E59" s="5" t="s">
        <v>885</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886</v>
      </c>
      <c r="AH59" s="265"/>
      <c r="AI59" s="265"/>
      <c r="AJ59" s="265"/>
      <c r="AK59" s="265"/>
      <c r="AL59" s="265"/>
      <c r="AM59" s="265"/>
      <c r="AP59" s="137" t="s">
        <v>729</v>
      </c>
    </row>
    <row r="60" spans="2:42" x14ac:dyDescent="0.25">
      <c r="B60" s="5" t="s">
        <v>441</v>
      </c>
      <c r="C60" s="5" t="s">
        <v>2022</v>
      </c>
      <c r="D60" s="271">
        <v>46232</v>
      </c>
      <c r="E60" s="5" t="s">
        <v>885</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886</v>
      </c>
      <c r="AH60" s="265"/>
      <c r="AI60" s="265"/>
      <c r="AJ60" s="265"/>
      <c r="AK60" s="265"/>
      <c r="AL60" s="265"/>
      <c r="AM60" s="265"/>
      <c r="AP60" s="137" t="s">
        <v>729</v>
      </c>
    </row>
    <row r="61" spans="2:42" x14ac:dyDescent="0.25">
      <c r="B61" s="5" t="s">
        <v>463</v>
      </c>
      <c r="C61" s="5" t="s">
        <v>465</v>
      </c>
      <c r="D61" s="271">
        <v>46084</v>
      </c>
      <c r="E61" s="5" t="s">
        <v>887</v>
      </c>
      <c r="F61" s="265" t="s">
        <v>871</v>
      </c>
      <c r="G61" s="5">
        <v>30</v>
      </c>
      <c r="H61" s="265"/>
      <c r="I61" s="265"/>
      <c r="J61" s="265"/>
      <c r="K61" s="265"/>
      <c r="L61" s="265"/>
      <c r="M61" s="265"/>
      <c r="O61" s="265"/>
      <c r="P61" s="265"/>
      <c r="Q61" s="265"/>
      <c r="R61" s="265"/>
      <c r="S61" s="265"/>
      <c r="T61" s="265"/>
      <c r="U61" s="265"/>
      <c r="V61" s="265"/>
      <c r="W61" s="265"/>
      <c r="X61" s="265"/>
      <c r="Y61" s="265"/>
      <c r="Z61" s="5">
        <v>20</v>
      </c>
      <c r="AA61" s="265"/>
      <c r="AB61" s="265">
        <v>25</v>
      </c>
      <c r="AD61" s="265"/>
      <c r="AE61" s="265"/>
      <c r="AF61" s="265"/>
      <c r="AG61" s="265"/>
      <c r="AH61" s="265"/>
      <c r="AI61" s="265"/>
      <c r="AJ61" s="265"/>
      <c r="AK61" s="265"/>
      <c r="AL61" s="265"/>
      <c r="AM61" s="265"/>
      <c r="AP61" s="137" t="s">
        <v>729</v>
      </c>
    </row>
    <row r="62" spans="2:42" x14ac:dyDescent="0.25">
      <c r="B62" s="5" t="s">
        <v>463</v>
      </c>
      <c r="C62" s="5" t="s">
        <v>465</v>
      </c>
      <c r="D62" s="271">
        <v>46084</v>
      </c>
      <c r="E62" s="5" t="s">
        <v>887</v>
      </c>
      <c r="F62" s="265" t="s">
        <v>871</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729</v>
      </c>
    </row>
    <row r="63" spans="2:42" x14ac:dyDescent="0.25">
      <c r="B63" s="5" t="s">
        <v>463</v>
      </c>
      <c r="C63" s="5" t="s">
        <v>465</v>
      </c>
      <c r="D63" s="271">
        <v>46084</v>
      </c>
      <c r="E63" s="5" t="s">
        <v>887</v>
      </c>
      <c r="F63" s="265" t="s">
        <v>871</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729</v>
      </c>
    </row>
    <row r="64" spans="2:42" x14ac:dyDescent="0.25">
      <c r="B64" s="5" t="s">
        <v>463</v>
      </c>
      <c r="C64" s="5" t="s">
        <v>465</v>
      </c>
      <c r="D64" s="271">
        <v>46084</v>
      </c>
      <c r="E64" s="5" t="s">
        <v>887</v>
      </c>
      <c r="F64" s="265" t="s">
        <v>871</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729</v>
      </c>
    </row>
    <row r="65" spans="2:42" x14ac:dyDescent="0.25">
      <c r="B65" s="5" t="s">
        <v>463</v>
      </c>
      <c r="C65" s="5" t="s">
        <v>465</v>
      </c>
      <c r="D65" s="271">
        <v>46084</v>
      </c>
      <c r="E65" s="5" t="s">
        <v>887</v>
      </c>
      <c r="F65" s="265" t="s">
        <v>871</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729</v>
      </c>
    </row>
    <row r="66" spans="2:42" x14ac:dyDescent="0.25">
      <c r="B66" s="5" t="s">
        <v>463</v>
      </c>
      <c r="C66" s="5" t="s">
        <v>465</v>
      </c>
      <c r="D66" s="271">
        <v>46084</v>
      </c>
      <c r="E66" s="5" t="s">
        <v>887</v>
      </c>
      <c r="F66" s="265" t="s">
        <v>871</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729</v>
      </c>
    </row>
    <row r="67" spans="2:42" x14ac:dyDescent="0.25">
      <c r="B67" s="5" t="s">
        <v>463</v>
      </c>
      <c r="C67" s="5" t="s">
        <v>2210</v>
      </c>
      <c r="D67" s="271">
        <v>45391</v>
      </c>
      <c r="E67" s="5" t="s">
        <v>2211</v>
      </c>
      <c r="F67" s="265" t="s">
        <v>871</v>
      </c>
      <c r="G67" s="5">
        <v>30</v>
      </c>
      <c r="H67" s="265"/>
      <c r="I67" s="265"/>
      <c r="J67" s="265"/>
      <c r="K67" s="265"/>
      <c r="L67" s="265"/>
      <c r="M67" s="265"/>
      <c r="O67" s="265"/>
      <c r="P67" s="265"/>
      <c r="Q67" s="265"/>
      <c r="R67" s="265"/>
      <c r="S67" s="265"/>
      <c r="T67" s="265"/>
      <c r="U67" s="265"/>
      <c r="V67" s="265"/>
      <c r="W67" s="265"/>
      <c r="X67" s="265"/>
      <c r="Y67" s="265"/>
      <c r="Z67" s="5">
        <v>20</v>
      </c>
      <c r="AA67" s="265"/>
      <c r="AB67" s="265">
        <v>30</v>
      </c>
      <c r="AD67" s="265"/>
      <c r="AE67" s="265"/>
      <c r="AF67" s="265"/>
      <c r="AG67" s="265"/>
      <c r="AH67" s="265"/>
      <c r="AI67" s="265"/>
      <c r="AJ67" s="265"/>
      <c r="AK67" s="265"/>
      <c r="AL67" s="265"/>
      <c r="AM67" s="265"/>
      <c r="AP67" s="137" t="s">
        <v>729</v>
      </c>
    </row>
    <row r="68" spans="2:42" x14ac:dyDescent="0.25">
      <c r="B68" s="5" t="s">
        <v>469</v>
      </c>
      <c r="C68" s="5" t="s">
        <v>1975</v>
      </c>
      <c r="D68" s="271">
        <v>46226</v>
      </c>
      <c r="E68" s="5" t="s">
        <v>1976</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729</v>
      </c>
    </row>
    <row r="69" spans="2:42" x14ac:dyDescent="0.25">
      <c r="B69" s="5" t="s">
        <v>469</v>
      </c>
      <c r="C69" s="5" t="s">
        <v>1977</v>
      </c>
      <c r="D69" s="271">
        <v>46226</v>
      </c>
      <c r="E69" s="5" t="s">
        <v>1976</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729</v>
      </c>
    </row>
    <row r="70" spans="2:42" x14ac:dyDescent="0.25">
      <c r="B70" s="5" t="s">
        <v>469</v>
      </c>
      <c r="C70" s="5" t="s">
        <v>1978</v>
      </c>
      <c r="D70" s="271">
        <v>46226</v>
      </c>
      <c r="E70" s="5" t="s">
        <v>1976</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729</v>
      </c>
    </row>
    <row r="71" spans="2:42" x14ac:dyDescent="0.25">
      <c r="B71" s="5" t="s">
        <v>469</v>
      </c>
      <c r="C71" s="5" t="s">
        <v>1979</v>
      </c>
      <c r="D71" s="271">
        <v>46226</v>
      </c>
      <c r="E71" s="5" t="s">
        <v>1976</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729</v>
      </c>
    </row>
    <row r="72" spans="2:42" x14ac:dyDescent="0.25">
      <c r="B72" s="5" t="s">
        <v>469</v>
      </c>
      <c r="C72" s="5" t="s">
        <v>1980</v>
      </c>
      <c r="D72" s="271">
        <v>46226</v>
      </c>
      <c r="E72" s="5" t="s">
        <v>1976</v>
      </c>
      <c r="F72" s="265">
        <v>0.05</v>
      </c>
      <c r="G72" s="5">
        <v>30</v>
      </c>
      <c r="H72" s="265">
        <v>5</v>
      </c>
      <c r="I72" s="265">
        <v>3.95</v>
      </c>
      <c r="J72" s="265">
        <v>3.95</v>
      </c>
      <c r="K72" s="265">
        <v>3.95</v>
      </c>
      <c r="L72" s="265">
        <v>3.95</v>
      </c>
      <c r="M72" s="265"/>
      <c r="O72" s="265"/>
      <c r="P72" s="265"/>
      <c r="Q72" s="265"/>
      <c r="R72" s="265"/>
      <c r="S72" s="265"/>
      <c r="T72" s="265"/>
      <c r="U72" s="265"/>
      <c r="V72" s="265"/>
      <c r="W72" s="265"/>
      <c r="X72" s="265"/>
      <c r="Y72" s="265"/>
      <c r="Z72" s="5">
        <v>30</v>
      </c>
      <c r="AA72" s="265">
        <v>30</v>
      </c>
      <c r="AB72" s="265"/>
      <c r="AD72" s="265"/>
      <c r="AE72" s="265"/>
      <c r="AF72" s="265"/>
      <c r="AG72" s="265"/>
      <c r="AH72" s="265"/>
      <c r="AI72" s="265"/>
      <c r="AJ72" s="265"/>
      <c r="AK72" s="265"/>
      <c r="AL72" s="265"/>
      <c r="AM72" s="265"/>
      <c r="AP72" s="137" t="s">
        <v>729</v>
      </c>
    </row>
    <row r="73" spans="2:42" x14ac:dyDescent="0.25">
      <c r="B73" s="5" t="s">
        <v>469</v>
      </c>
      <c r="C73" s="5" t="s">
        <v>1981</v>
      </c>
      <c r="D73" s="271">
        <v>46226</v>
      </c>
      <c r="E73" s="5" t="s">
        <v>1976</v>
      </c>
      <c r="F73" s="265">
        <v>0.05</v>
      </c>
      <c r="G73" s="5">
        <v>30</v>
      </c>
      <c r="H73" s="265">
        <v>5</v>
      </c>
      <c r="I73" s="265">
        <v>3.95</v>
      </c>
      <c r="J73" s="265">
        <v>3.95</v>
      </c>
      <c r="K73" s="265">
        <v>3.95</v>
      </c>
      <c r="L73" s="265">
        <v>3.95</v>
      </c>
      <c r="M73" s="265"/>
      <c r="O73" s="265"/>
      <c r="P73" s="265"/>
      <c r="Q73" s="265"/>
      <c r="R73" s="265"/>
      <c r="S73" s="265"/>
      <c r="T73" s="265"/>
      <c r="U73" s="265"/>
      <c r="V73" s="265"/>
      <c r="W73" s="265"/>
      <c r="X73" s="265"/>
      <c r="Y73" s="265"/>
      <c r="Z73" s="5">
        <v>30</v>
      </c>
      <c r="AA73" s="265">
        <v>30</v>
      </c>
      <c r="AB73" s="265"/>
      <c r="AD73" s="265"/>
      <c r="AE73" s="265"/>
      <c r="AF73" s="265"/>
      <c r="AG73" s="265"/>
      <c r="AH73" s="265"/>
      <c r="AI73" s="265"/>
      <c r="AJ73" s="265"/>
      <c r="AK73" s="265"/>
      <c r="AL73" s="265"/>
      <c r="AM73" s="265"/>
      <c r="AP73" s="137" t="s">
        <v>729</v>
      </c>
    </row>
    <row r="74" spans="2:42" x14ac:dyDescent="0.25">
      <c r="B74" s="5" t="s">
        <v>476</v>
      </c>
      <c r="C74" s="5" t="s">
        <v>480</v>
      </c>
      <c r="D74" s="271">
        <v>45964</v>
      </c>
      <c r="E74" s="5" t="s">
        <v>888</v>
      </c>
      <c r="F74" s="265">
        <v>0.05</v>
      </c>
      <c r="G74" s="5">
        <v>30</v>
      </c>
      <c r="H74" s="265"/>
      <c r="I74" s="265"/>
      <c r="J74" s="265"/>
      <c r="K74" s="265"/>
      <c r="L74" s="265"/>
      <c r="M74" s="265"/>
      <c r="O74" s="265"/>
      <c r="P74" s="265">
        <v>5</v>
      </c>
      <c r="Q74" s="265">
        <v>5</v>
      </c>
      <c r="R74" s="265">
        <v>20</v>
      </c>
      <c r="S74" s="265">
        <v>20</v>
      </c>
      <c r="T74" s="265"/>
      <c r="U74" s="265"/>
      <c r="V74" s="265"/>
      <c r="W74" s="265"/>
      <c r="X74" s="265"/>
      <c r="Y74" s="265"/>
      <c r="Z74" s="5">
        <v>25</v>
      </c>
      <c r="AA74" s="265">
        <v>30</v>
      </c>
      <c r="AB74" s="265"/>
      <c r="AC74" s="5">
        <v>30</v>
      </c>
      <c r="AD74" s="265"/>
      <c r="AE74" s="265">
        <v>5</v>
      </c>
      <c r="AF74" s="265"/>
      <c r="AG74" s="265"/>
      <c r="AH74" s="265"/>
      <c r="AI74" s="265"/>
      <c r="AJ74" s="265"/>
      <c r="AK74" s="265"/>
      <c r="AL74" s="265"/>
      <c r="AM74" s="265"/>
      <c r="AP74" s="137" t="s">
        <v>729</v>
      </c>
    </row>
    <row r="75" spans="2:42" x14ac:dyDescent="0.25">
      <c r="B75" s="5" t="s">
        <v>486</v>
      </c>
      <c r="C75" s="5" t="s">
        <v>2112</v>
      </c>
      <c r="D75" s="271">
        <v>46225</v>
      </c>
      <c r="E75" s="5" t="s">
        <v>2113</v>
      </c>
      <c r="F75" s="265" t="s">
        <v>871</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873</v>
      </c>
      <c r="AH75" s="265"/>
      <c r="AI75" s="265"/>
      <c r="AJ75" s="265"/>
      <c r="AK75" s="265"/>
      <c r="AL75" s="265"/>
      <c r="AM75" s="265"/>
      <c r="AP75" s="137" t="s">
        <v>729</v>
      </c>
    </row>
    <row r="76" spans="2:42" x14ac:dyDescent="0.25">
      <c r="B76" s="5" t="s">
        <v>486</v>
      </c>
      <c r="C76" s="5" t="s">
        <v>2114</v>
      </c>
      <c r="D76" s="271">
        <v>46225</v>
      </c>
      <c r="E76" s="5" t="s">
        <v>2115</v>
      </c>
      <c r="F76" s="265" t="s">
        <v>871</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873</v>
      </c>
      <c r="AH76" s="265"/>
      <c r="AI76" s="265"/>
      <c r="AJ76" s="265"/>
      <c r="AK76" s="265"/>
      <c r="AL76" s="265"/>
      <c r="AM76" s="265"/>
      <c r="AP76" s="137" t="s">
        <v>729</v>
      </c>
    </row>
    <row r="77" spans="2:42" x14ac:dyDescent="0.25">
      <c r="B77" s="5" t="s">
        <v>486</v>
      </c>
      <c r="C77" s="5" t="s">
        <v>2116</v>
      </c>
      <c r="D77" s="271">
        <v>46197</v>
      </c>
      <c r="E77" s="5" t="s">
        <v>2117</v>
      </c>
      <c r="F77" s="265" t="s">
        <v>871</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873</v>
      </c>
      <c r="AH77" s="265"/>
      <c r="AI77" s="265"/>
      <c r="AJ77" s="265"/>
      <c r="AK77" s="265"/>
      <c r="AL77" s="265"/>
      <c r="AM77" s="265"/>
      <c r="AP77" s="137" t="s">
        <v>729</v>
      </c>
    </row>
    <row r="78" spans="2:42" x14ac:dyDescent="0.25">
      <c r="B78" s="5" t="s">
        <v>486</v>
      </c>
      <c r="C78" s="5" t="s">
        <v>2118</v>
      </c>
      <c r="D78" s="271">
        <v>46189</v>
      </c>
      <c r="E78" s="5" t="s">
        <v>2119</v>
      </c>
      <c r="F78" s="265" t="s">
        <v>871</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873</v>
      </c>
      <c r="AH78" s="265"/>
      <c r="AI78" s="265"/>
      <c r="AJ78" s="265"/>
      <c r="AK78" s="265"/>
      <c r="AL78" s="265"/>
      <c r="AM78" s="265"/>
      <c r="AP78" s="137" t="s">
        <v>729</v>
      </c>
    </row>
    <row r="79" spans="2:42" x14ac:dyDescent="0.25">
      <c r="B79" s="5" t="s">
        <v>486</v>
      </c>
      <c r="C79" s="5" t="s">
        <v>2120</v>
      </c>
      <c r="D79" s="271">
        <v>46189</v>
      </c>
      <c r="E79" s="5" t="s">
        <v>2121</v>
      </c>
      <c r="F79" s="265" t="s">
        <v>871</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873</v>
      </c>
      <c r="AH79" s="265"/>
      <c r="AI79" s="265"/>
      <c r="AJ79" s="265"/>
      <c r="AK79" s="265"/>
      <c r="AL79" s="265"/>
      <c r="AM79" s="265"/>
      <c r="AP79" s="137" t="s">
        <v>729</v>
      </c>
    </row>
    <row r="80" spans="2:42" x14ac:dyDescent="0.25">
      <c r="B80" s="5" t="s">
        <v>486</v>
      </c>
      <c r="C80" s="5" t="s">
        <v>2122</v>
      </c>
      <c r="D80" s="271">
        <v>46189</v>
      </c>
      <c r="E80" s="5" t="s">
        <v>2123</v>
      </c>
      <c r="F80" s="265" t="s">
        <v>871</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873</v>
      </c>
      <c r="AH80" s="265"/>
      <c r="AI80" s="265"/>
      <c r="AJ80" s="265"/>
      <c r="AK80" s="265"/>
      <c r="AL80" s="265"/>
      <c r="AM80" s="265"/>
      <c r="AP80" s="137" t="s">
        <v>729</v>
      </c>
    </row>
    <row r="81" spans="2:42" x14ac:dyDescent="0.25">
      <c r="B81" s="5" t="s">
        <v>486</v>
      </c>
      <c r="C81" s="5" t="s">
        <v>2124</v>
      </c>
      <c r="D81" s="271">
        <v>46189</v>
      </c>
      <c r="E81" s="5" t="s">
        <v>2125</v>
      </c>
      <c r="F81" s="265" t="s">
        <v>871</v>
      </c>
      <c r="G81" s="5">
        <v>30</v>
      </c>
      <c r="H81" s="265"/>
      <c r="I81" s="265"/>
      <c r="J81" s="265"/>
      <c r="K81" s="265"/>
      <c r="L81" s="265"/>
      <c r="M81" s="265"/>
      <c r="O81" s="265"/>
      <c r="P81" s="265">
        <v>6.95</v>
      </c>
      <c r="Q81" s="265"/>
      <c r="R81" s="265"/>
      <c r="S81" s="265"/>
      <c r="T81" s="265"/>
      <c r="U81" s="265"/>
      <c r="V81" s="265"/>
      <c r="W81" s="265"/>
      <c r="X81" s="265"/>
      <c r="Y81" s="265"/>
      <c r="AA81" s="265">
        <v>20</v>
      </c>
      <c r="AB81" s="265"/>
      <c r="AC81" s="5">
        <v>20</v>
      </c>
      <c r="AD81" s="265"/>
      <c r="AE81" s="265"/>
      <c r="AF81" s="265"/>
      <c r="AG81" s="265" t="s">
        <v>873</v>
      </c>
      <c r="AH81" s="265"/>
      <c r="AI81" s="265"/>
      <c r="AJ81" s="265"/>
      <c r="AK81" s="265"/>
      <c r="AL81" s="265"/>
      <c r="AM81" s="265"/>
      <c r="AP81" s="137" t="s">
        <v>729</v>
      </c>
    </row>
    <row r="82" spans="2:42" x14ac:dyDescent="0.25">
      <c r="B82" s="5" t="s">
        <v>486</v>
      </c>
      <c r="C82" s="5" t="s">
        <v>2126</v>
      </c>
      <c r="D82" s="271">
        <v>46189</v>
      </c>
      <c r="E82" s="5" t="s">
        <v>2127</v>
      </c>
      <c r="F82" s="265" t="s">
        <v>871</v>
      </c>
      <c r="G82" s="5">
        <v>30</v>
      </c>
      <c r="H82" s="265"/>
      <c r="I82" s="265"/>
      <c r="J82" s="265"/>
      <c r="K82" s="265"/>
      <c r="L82" s="265"/>
      <c r="M82" s="265"/>
      <c r="O82" s="265"/>
      <c r="P82" s="265">
        <v>6.95</v>
      </c>
      <c r="Q82" s="265"/>
      <c r="R82" s="265"/>
      <c r="S82" s="265"/>
      <c r="T82" s="265"/>
      <c r="U82" s="265"/>
      <c r="V82" s="265"/>
      <c r="W82" s="265"/>
      <c r="X82" s="265"/>
      <c r="Y82" s="265"/>
      <c r="AA82" s="265">
        <v>20</v>
      </c>
      <c r="AB82" s="265"/>
      <c r="AC82" s="5">
        <v>20</v>
      </c>
      <c r="AD82" s="265"/>
      <c r="AE82" s="265"/>
      <c r="AF82" s="265"/>
      <c r="AG82" s="265" t="s">
        <v>873</v>
      </c>
      <c r="AH82" s="265"/>
      <c r="AI82" s="265"/>
      <c r="AJ82" s="265"/>
      <c r="AK82" s="265"/>
      <c r="AL82" s="265"/>
      <c r="AM82" s="265"/>
      <c r="AP82" s="137" t="s">
        <v>729</v>
      </c>
    </row>
    <row r="83" spans="2:42" x14ac:dyDescent="0.25">
      <c r="B83" s="5" t="s">
        <v>487</v>
      </c>
      <c r="C83" s="5" t="s">
        <v>490</v>
      </c>
      <c r="D83" s="271">
        <v>46084</v>
      </c>
      <c r="E83" s="5" t="s">
        <v>889</v>
      </c>
      <c r="F83" s="265" t="s">
        <v>871</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487</v>
      </c>
      <c r="C84" s="5" t="s">
        <v>490</v>
      </c>
      <c r="D84" s="271">
        <v>46084</v>
      </c>
      <c r="E84" s="5" t="s">
        <v>889</v>
      </c>
      <c r="F84" s="265" t="s">
        <v>871</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487</v>
      </c>
      <c r="C85" s="5" t="s">
        <v>490</v>
      </c>
      <c r="D85" s="271">
        <v>46084</v>
      </c>
      <c r="E85" s="5" t="s">
        <v>889</v>
      </c>
      <c r="F85" s="265" t="s">
        <v>871</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487</v>
      </c>
      <c r="C86" s="5" t="s">
        <v>490</v>
      </c>
      <c r="D86" s="271">
        <v>46084</v>
      </c>
      <c r="E86" s="5" t="s">
        <v>889</v>
      </c>
      <c r="F86" s="265" t="s">
        <v>871</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487</v>
      </c>
      <c r="C87" s="5" t="s">
        <v>490</v>
      </c>
      <c r="D87" s="271">
        <v>46084</v>
      </c>
      <c r="E87" s="5" t="s">
        <v>889</v>
      </c>
      <c r="F87" s="265" t="s">
        <v>871</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487</v>
      </c>
      <c r="C88" s="5" t="s">
        <v>490</v>
      </c>
      <c r="D88" s="271">
        <v>46084</v>
      </c>
      <c r="E88" s="5" t="s">
        <v>889</v>
      </c>
      <c r="F88" s="265" t="s">
        <v>871</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487</v>
      </c>
      <c r="C89" s="5" t="s">
        <v>490</v>
      </c>
      <c r="D89" s="271">
        <v>46084</v>
      </c>
      <c r="E89" s="5" t="s">
        <v>889</v>
      </c>
      <c r="F89" s="265" t="s">
        <v>871</v>
      </c>
      <c r="G89" s="5">
        <v>30</v>
      </c>
      <c r="H89" s="265">
        <v>5</v>
      </c>
      <c r="I89" s="265"/>
      <c r="J89" s="265"/>
      <c r="K89" s="265"/>
      <c r="L89" s="265"/>
      <c r="M89" s="265"/>
      <c r="O89" s="265"/>
      <c r="P89" s="265">
        <v>4.95</v>
      </c>
      <c r="Q89" s="265"/>
      <c r="R89" s="265"/>
      <c r="S89" s="265"/>
      <c r="T89" s="265"/>
      <c r="U89" s="265"/>
      <c r="V89" s="265"/>
      <c r="W89" s="265"/>
      <c r="X89" s="265"/>
      <c r="Y89" s="265"/>
      <c r="Z89" s="5">
        <v>30</v>
      </c>
      <c r="AA89" s="265"/>
      <c r="AB89" s="265">
        <v>25</v>
      </c>
      <c r="AD89" s="265"/>
      <c r="AE89" s="265"/>
      <c r="AF89" s="265"/>
      <c r="AG89" s="265"/>
      <c r="AH89" s="265"/>
      <c r="AI89" s="265"/>
      <c r="AJ89" s="265"/>
      <c r="AK89" s="265"/>
      <c r="AL89" s="265"/>
      <c r="AM89" s="265"/>
      <c r="AP89" s="137" t="s">
        <v>293</v>
      </c>
    </row>
    <row r="90" spans="2:42" x14ac:dyDescent="0.25">
      <c r="B90" s="5" t="s">
        <v>487</v>
      </c>
      <c r="C90" s="5" t="s">
        <v>490</v>
      </c>
      <c r="D90" s="271">
        <v>46084</v>
      </c>
      <c r="E90" s="5" t="s">
        <v>889</v>
      </c>
      <c r="F90" s="265" t="s">
        <v>871</v>
      </c>
      <c r="G90" s="5">
        <v>30</v>
      </c>
      <c r="H90" s="265">
        <v>5</v>
      </c>
      <c r="I90" s="265"/>
      <c r="J90" s="265"/>
      <c r="K90" s="265"/>
      <c r="L90" s="265"/>
      <c r="M90" s="265"/>
      <c r="O90" s="265"/>
      <c r="P90" s="265">
        <v>4.95</v>
      </c>
      <c r="Q90" s="265"/>
      <c r="R90" s="265"/>
      <c r="S90" s="265"/>
      <c r="T90" s="265"/>
      <c r="U90" s="265"/>
      <c r="V90" s="265"/>
      <c r="W90" s="265"/>
      <c r="X90" s="265"/>
      <c r="Y90" s="265"/>
      <c r="Z90" s="5">
        <v>30</v>
      </c>
      <c r="AA90" s="265"/>
      <c r="AB90" s="265">
        <v>25</v>
      </c>
      <c r="AD90" s="265"/>
      <c r="AE90" s="265"/>
      <c r="AF90" s="265"/>
      <c r="AG90" s="265"/>
      <c r="AH90" s="265"/>
      <c r="AI90" s="265"/>
      <c r="AJ90" s="265"/>
      <c r="AK90" s="265"/>
      <c r="AL90" s="265"/>
      <c r="AM90" s="265"/>
      <c r="AP90" s="137" t="s">
        <v>293</v>
      </c>
    </row>
    <row r="91" spans="2:42" x14ac:dyDescent="0.25">
      <c r="B91" s="5" t="s">
        <v>499</v>
      </c>
      <c r="C91" s="5" t="s">
        <v>501</v>
      </c>
      <c r="D91" s="271">
        <v>46084</v>
      </c>
      <c r="E91" s="5" t="s">
        <v>890</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729</v>
      </c>
    </row>
    <row r="92" spans="2:42" x14ac:dyDescent="0.25">
      <c r="B92" s="5" t="s">
        <v>499</v>
      </c>
      <c r="C92" s="5" t="s">
        <v>501</v>
      </c>
      <c r="D92" s="271">
        <v>46084</v>
      </c>
      <c r="E92" s="5" t="s">
        <v>890</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729</v>
      </c>
    </row>
    <row r="93" spans="2:42" x14ac:dyDescent="0.25">
      <c r="B93" s="5" t="s">
        <v>499</v>
      </c>
      <c r="C93" s="5" t="s">
        <v>501</v>
      </c>
      <c r="D93" s="271">
        <v>46084</v>
      </c>
      <c r="E93" s="5" t="s">
        <v>890</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729</v>
      </c>
    </row>
    <row r="94" spans="2:42" x14ac:dyDescent="0.25">
      <c r="B94" s="5" t="s">
        <v>499</v>
      </c>
      <c r="C94" s="5" t="s">
        <v>501</v>
      </c>
      <c r="D94" s="271">
        <v>46084</v>
      </c>
      <c r="E94" s="5" t="s">
        <v>890</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729</v>
      </c>
    </row>
    <row r="95" spans="2:42" x14ac:dyDescent="0.25">
      <c r="B95" s="5" t="s">
        <v>499</v>
      </c>
      <c r="C95" s="5" t="s">
        <v>501</v>
      </c>
      <c r="D95" s="271">
        <v>46084</v>
      </c>
      <c r="E95" s="5" t="s">
        <v>890</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729</v>
      </c>
    </row>
    <row r="96" spans="2:42" x14ac:dyDescent="0.25">
      <c r="B96" s="5" t="s">
        <v>499</v>
      </c>
      <c r="C96" s="5" t="s">
        <v>501</v>
      </c>
      <c r="D96" s="271">
        <v>46084</v>
      </c>
      <c r="E96" s="5" t="s">
        <v>890</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729</v>
      </c>
    </row>
    <row r="97" spans="2:42" x14ac:dyDescent="0.25">
      <c r="B97" s="5" t="s">
        <v>499</v>
      </c>
      <c r="C97" s="5" t="s">
        <v>501</v>
      </c>
      <c r="D97" s="271">
        <v>46084</v>
      </c>
      <c r="E97" s="5" t="s">
        <v>890</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729</v>
      </c>
    </row>
    <row r="98" spans="2:42" x14ac:dyDescent="0.25">
      <c r="B98" s="5" t="s">
        <v>499</v>
      </c>
      <c r="C98" s="5" t="s">
        <v>501</v>
      </c>
      <c r="D98" s="271">
        <v>46084</v>
      </c>
      <c r="E98" s="5" t="s">
        <v>890</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729</v>
      </c>
    </row>
    <row r="99" spans="2:42" x14ac:dyDescent="0.25">
      <c r="B99" s="5" t="s">
        <v>499</v>
      </c>
      <c r="C99" s="5" t="s">
        <v>501</v>
      </c>
      <c r="D99" s="271">
        <v>46084</v>
      </c>
      <c r="E99" s="5" t="s">
        <v>890</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25</v>
      </c>
      <c r="AD99" s="265"/>
      <c r="AE99" s="265"/>
      <c r="AF99" s="265"/>
      <c r="AG99" s="265"/>
      <c r="AH99" s="265"/>
      <c r="AI99" s="265"/>
      <c r="AJ99" s="265"/>
      <c r="AK99" s="265"/>
      <c r="AL99" s="265"/>
      <c r="AM99" s="265"/>
      <c r="AP99" s="137" t="s">
        <v>729</v>
      </c>
    </row>
    <row r="100" spans="2:42" x14ac:dyDescent="0.25">
      <c r="B100" s="5" t="s">
        <v>499</v>
      </c>
      <c r="C100" s="5" t="s">
        <v>501</v>
      </c>
      <c r="D100" s="271">
        <v>46084</v>
      </c>
      <c r="E100" s="5" t="s">
        <v>890</v>
      </c>
      <c r="F100" s="265">
        <v>0.05</v>
      </c>
      <c r="G100" s="5">
        <v>30</v>
      </c>
      <c r="H100" s="265"/>
      <c r="I100" s="265"/>
      <c r="J100" s="265"/>
      <c r="K100" s="265"/>
      <c r="L100" s="265"/>
      <c r="M100" s="265"/>
      <c r="O100" s="265"/>
      <c r="P100" s="265"/>
      <c r="Q100" s="265"/>
      <c r="R100" s="265"/>
      <c r="S100" s="265"/>
      <c r="T100" s="265"/>
      <c r="U100" s="265"/>
      <c r="V100" s="265"/>
      <c r="W100" s="265"/>
      <c r="X100" s="265"/>
      <c r="Y100" s="265"/>
      <c r="Z100" s="5">
        <v>20</v>
      </c>
      <c r="AA100" s="265"/>
      <c r="AB100" s="265">
        <v>25</v>
      </c>
      <c r="AD100" s="265"/>
      <c r="AE100" s="265"/>
      <c r="AF100" s="265"/>
      <c r="AG100" s="265"/>
      <c r="AH100" s="265"/>
      <c r="AI100" s="265"/>
      <c r="AJ100" s="265"/>
      <c r="AK100" s="265"/>
      <c r="AL100" s="265"/>
      <c r="AM100" s="265"/>
      <c r="AP100" s="137" t="s">
        <v>729</v>
      </c>
    </row>
    <row r="101" spans="2:42" x14ac:dyDescent="0.25">
      <c r="B101" s="5" t="s">
        <v>499</v>
      </c>
      <c r="C101" s="5" t="s">
        <v>2212</v>
      </c>
      <c r="D101" s="271">
        <v>45861</v>
      </c>
      <c r="E101" s="5" t="s">
        <v>2213</v>
      </c>
      <c r="F101" s="265">
        <v>0.05</v>
      </c>
      <c r="G101" s="5">
        <v>30</v>
      </c>
      <c r="H101" s="265"/>
      <c r="I101" s="265"/>
      <c r="J101" s="265"/>
      <c r="K101" s="265"/>
      <c r="L101" s="265"/>
      <c r="M101" s="265"/>
      <c r="O101" s="265"/>
      <c r="P101" s="265"/>
      <c r="Q101" s="265"/>
      <c r="R101" s="265"/>
      <c r="S101" s="265"/>
      <c r="T101" s="265"/>
      <c r="U101" s="265"/>
      <c r="V101" s="265"/>
      <c r="W101" s="265"/>
      <c r="X101" s="265"/>
      <c r="Y101" s="265"/>
      <c r="Z101" s="5">
        <v>20</v>
      </c>
      <c r="AA101" s="265"/>
      <c r="AB101" s="265">
        <v>30</v>
      </c>
      <c r="AD101" s="265"/>
      <c r="AE101" s="265"/>
      <c r="AF101" s="265"/>
      <c r="AG101" s="265"/>
      <c r="AH101" s="265"/>
      <c r="AI101" s="265"/>
      <c r="AJ101" s="265"/>
      <c r="AK101" s="265"/>
      <c r="AL101" s="265"/>
      <c r="AM101" s="265"/>
      <c r="AP101" s="137" t="s">
        <v>729</v>
      </c>
    </row>
    <row r="102" spans="2:42" x14ac:dyDescent="0.25">
      <c r="B102" s="5" t="s">
        <v>505</v>
      </c>
      <c r="C102" s="5" t="s">
        <v>509</v>
      </c>
      <c r="D102" s="271">
        <v>46065</v>
      </c>
      <c r="E102" s="5" t="s">
        <v>891</v>
      </c>
      <c r="F102" s="265">
        <v>0.05</v>
      </c>
      <c r="G102" s="5">
        <v>30</v>
      </c>
      <c r="H102" s="265"/>
      <c r="I102" s="265"/>
      <c r="J102" s="265"/>
      <c r="K102" s="265">
        <v>3</v>
      </c>
      <c r="L102" s="265"/>
      <c r="M102" s="265">
        <v>3</v>
      </c>
      <c r="O102" s="265"/>
      <c r="P102" s="265"/>
      <c r="Q102" s="265">
        <v>5</v>
      </c>
      <c r="R102" s="265"/>
      <c r="S102" s="265">
        <v>5</v>
      </c>
      <c r="T102" s="265"/>
      <c r="U102" s="265"/>
      <c r="V102" s="265"/>
      <c r="W102" s="265"/>
      <c r="X102" s="265"/>
      <c r="Y102" s="265"/>
      <c r="Z102" s="5">
        <v>25</v>
      </c>
      <c r="AA102" s="265">
        <v>25</v>
      </c>
      <c r="AB102" s="265"/>
      <c r="AC102" s="5">
        <v>25</v>
      </c>
      <c r="AD102" s="265"/>
      <c r="AE102" s="265"/>
      <c r="AF102" s="265"/>
      <c r="AG102" s="265"/>
      <c r="AH102" s="265"/>
      <c r="AI102" s="265"/>
      <c r="AJ102" s="265"/>
      <c r="AK102" s="265"/>
      <c r="AL102" s="265"/>
      <c r="AM102" s="265"/>
      <c r="AP102" s="137" t="s">
        <v>729</v>
      </c>
    </row>
    <row r="103" spans="2:42" x14ac:dyDescent="0.25">
      <c r="B103" s="5" t="s">
        <v>1367</v>
      </c>
      <c r="C103" s="5" t="s">
        <v>1793</v>
      </c>
      <c r="D103" s="271">
        <v>46205</v>
      </c>
      <c r="E103" s="5" t="s">
        <v>1794</v>
      </c>
      <c r="F103" s="265" t="s">
        <v>871</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1788</v>
      </c>
      <c r="AP103" s="137" t="s">
        <v>729</v>
      </c>
    </row>
    <row r="104" spans="2:42" x14ac:dyDescent="0.25">
      <c r="B104" s="5" t="s">
        <v>1367</v>
      </c>
      <c r="C104" s="5" t="s">
        <v>1789</v>
      </c>
      <c r="D104" s="271">
        <v>46205</v>
      </c>
      <c r="E104" s="5" t="s">
        <v>1790</v>
      </c>
      <c r="F104" s="265" t="s">
        <v>871</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1788</v>
      </c>
      <c r="AP104" s="137" t="s">
        <v>729</v>
      </c>
    </row>
    <row r="105" spans="2:42" x14ac:dyDescent="0.25">
      <c r="B105" s="5" t="s">
        <v>1367</v>
      </c>
      <c r="C105" s="5" t="s">
        <v>1791</v>
      </c>
      <c r="D105" s="271">
        <v>46205</v>
      </c>
      <c r="E105" s="5" t="s">
        <v>1792</v>
      </c>
      <c r="F105" s="265" t="s">
        <v>871</v>
      </c>
      <c r="G105" s="5">
        <v>29.95</v>
      </c>
      <c r="H105" s="265"/>
      <c r="I105" s="265">
        <v>5.95</v>
      </c>
      <c r="J105" s="265"/>
      <c r="K105" s="265"/>
      <c r="L105" s="265"/>
      <c r="M105" s="265"/>
      <c r="O105" s="265">
        <v>4.95</v>
      </c>
      <c r="P105" s="265">
        <v>3.95</v>
      </c>
      <c r="Q105" s="265"/>
      <c r="R105" s="265">
        <v>19.95</v>
      </c>
      <c r="S105" s="265">
        <v>3.95</v>
      </c>
      <c r="T105" s="265"/>
      <c r="U105" s="265">
        <v>9.9499999999999993</v>
      </c>
      <c r="V105" s="265"/>
      <c r="W105" s="265">
        <v>9.9499999999999993</v>
      </c>
      <c r="X105" s="265"/>
      <c r="Y105" s="265"/>
      <c r="Z105" s="5">
        <v>19.95</v>
      </c>
      <c r="AA105" s="265"/>
      <c r="AB105" s="265">
        <v>29.95</v>
      </c>
      <c r="AC105" s="5">
        <v>29.95</v>
      </c>
      <c r="AD105" s="265"/>
      <c r="AE105" s="265"/>
      <c r="AF105" s="265">
        <v>24.95</v>
      </c>
      <c r="AG105" s="265"/>
      <c r="AH105" s="265"/>
      <c r="AI105" s="265"/>
      <c r="AJ105" s="265">
        <v>9.9499999999999993</v>
      </c>
      <c r="AK105" s="265"/>
      <c r="AL105" s="265"/>
      <c r="AM105" s="265" t="s">
        <v>1788</v>
      </c>
      <c r="AP105" s="137" t="s">
        <v>729</v>
      </c>
    </row>
    <row r="106" spans="2:42" x14ac:dyDescent="0.25">
      <c r="B106" s="5" t="s">
        <v>1367</v>
      </c>
      <c r="C106" s="5" t="s">
        <v>1786</v>
      </c>
      <c r="D106" s="271">
        <v>46205</v>
      </c>
      <c r="E106" s="5" t="s">
        <v>1787</v>
      </c>
      <c r="F106" s="265" t="s">
        <v>871</v>
      </c>
      <c r="G106" s="5">
        <v>29.95</v>
      </c>
      <c r="H106" s="265"/>
      <c r="I106" s="265">
        <v>5.95</v>
      </c>
      <c r="J106" s="265"/>
      <c r="K106" s="265"/>
      <c r="L106" s="265"/>
      <c r="M106" s="265"/>
      <c r="O106" s="265">
        <v>4.95</v>
      </c>
      <c r="P106" s="265">
        <v>3.95</v>
      </c>
      <c r="Q106" s="265"/>
      <c r="R106" s="265">
        <v>19.95</v>
      </c>
      <c r="S106" s="265">
        <v>3.95</v>
      </c>
      <c r="T106" s="265"/>
      <c r="U106" s="265">
        <v>9.9499999999999993</v>
      </c>
      <c r="V106" s="265"/>
      <c r="W106" s="265">
        <v>9.9499999999999993</v>
      </c>
      <c r="X106" s="265"/>
      <c r="Y106" s="265"/>
      <c r="Z106" s="5">
        <v>19.95</v>
      </c>
      <c r="AA106" s="265"/>
      <c r="AB106" s="265">
        <v>29.95</v>
      </c>
      <c r="AC106" s="5">
        <v>29.95</v>
      </c>
      <c r="AD106" s="265"/>
      <c r="AE106" s="265"/>
      <c r="AF106" s="265">
        <v>24.95</v>
      </c>
      <c r="AG106" s="265"/>
      <c r="AH106" s="265"/>
      <c r="AI106" s="265"/>
      <c r="AJ106" s="265">
        <v>9.9499999999999993</v>
      </c>
      <c r="AK106" s="265"/>
      <c r="AL106" s="265"/>
      <c r="AM106" s="265" t="s">
        <v>1788</v>
      </c>
      <c r="AP106" s="137" t="s">
        <v>729</v>
      </c>
    </row>
    <row r="107" spans="2:42" x14ac:dyDescent="0.25">
      <c r="B107" s="5" t="s">
        <v>520</v>
      </c>
      <c r="C107" s="5" t="s">
        <v>524</v>
      </c>
      <c r="D107" s="271">
        <v>45116</v>
      </c>
      <c r="E107" s="5" t="s">
        <v>892</v>
      </c>
      <c r="F107" s="265" t="s">
        <v>871</v>
      </c>
      <c r="G107" s="5">
        <v>30</v>
      </c>
      <c r="H107" s="265"/>
      <c r="I107" s="265"/>
      <c r="J107" s="265"/>
      <c r="K107" s="265"/>
      <c r="L107" s="265"/>
      <c r="M107" s="265"/>
      <c r="O107" s="265"/>
      <c r="P107" s="265">
        <v>5</v>
      </c>
      <c r="Q107" s="265">
        <v>5</v>
      </c>
      <c r="R107" s="265"/>
      <c r="S107" s="265">
        <v>20</v>
      </c>
      <c r="T107" s="265"/>
      <c r="U107" s="265"/>
      <c r="V107" s="265"/>
      <c r="W107" s="265"/>
      <c r="X107" s="265"/>
      <c r="Y107" s="265"/>
      <c r="Z107" s="5">
        <v>20</v>
      </c>
      <c r="AA107" s="265">
        <v>30</v>
      </c>
      <c r="AB107" s="265"/>
      <c r="AC107" s="5">
        <v>30</v>
      </c>
      <c r="AD107" s="265"/>
      <c r="AE107" s="265">
        <v>5</v>
      </c>
      <c r="AF107" s="265"/>
      <c r="AG107" s="265"/>
      <c r="AH107" s="265"/>
      <c r="AI107" s="265"/>
      <c r="AJ107" s="265"/>
      <c r="AK107" s="265"/>
      <c r="AL107" s="265"/>
      <c r="AM107" s="265"/>
      <c r="AP107" s="137" t="s">
        <v>729</v>
      </c>
    </row>
    <row r="108" spans="2:42" x14ac:dyDescent="0.25">
      <c r="B108" s="5" t="s">
        <v>529</v>
      </c>
      <c r="C108" s="5" t="s">
        <v>532</v>
      </c>
      <c r="D108" s="271">
        <v>45116</v>
      </c>
      <c r="E108" s="5" t="s">
        <v>893</v>
      </c>
      <c r="F108" s="265" t="s">
        <v>871</v>
      </c>
      <c r="G108" s="5">
        <v>25</v>
      </c>
      <c r="H108" s="265"/>
      <c r="I108" s="265"/>
      <c r="J108" s="265"/>
      <c r="K108" s="265"/>
      <c r="L108" s="265"/>
      <c r="M108" s="265"/>
      <c r="O108" s="265"/>
      <c r="P108" s="265"/>
      <c r="Q108" s="265"/>
      <c r="R108" s="265"/>
      <c r="S108" s="265">
        <v>2</v>
      </c>
      <c r="T108" s="265">
        <v>2</v>
      </c>
      <c r="U108" s="265"/>
      <c r="V108" s="265"/>
      <c r="W108" s="265"/>
      <c r="X108" s="265"/>
      <c r="Y108" s="265"/>
      <c r="Z108" s="5">
        <v>20</v>
      </c>
      <c r="AA108" s="265">
        <v>25</v>
      </c>
      <c r="AB108" s="265"/>
      <c r="AC108" s="5">
        <v>25</v>
      </c>
      <c r="AD108" s="265"/>
      <c r="AE108" s="265"/>
      <c r="AF108" s="265"/>
      <c r="AG108" s="265"/>
      <c r="AH108" s="265"/>
      <c r="AI108" s="265"/>
      <c r="AJ108" s="265"/>
      <c r="AK108" s="265"/>
      <c r="AL108" s="265"/>
      <c r="AM108" s="265"/>
      <c r="AP108" s="137" t="s">
        <v>729</v>
      </c>
    </row>
    <row r="109" spans="2:42" x14ac:dyDescent="0.25">
      <c r="B109" s="5" t="s">
        <v>537</v>
      </c>
      <c r="C109" s="5" t="s">
        <v>1916</v>
      </c>
      <c r="D109" s="271">
        <v>45997</v>
      </c>
      <c r="E109" s="5">
        <v>20240510</v>
      </c>
      <c r="F109" s="265" t="s">
        <v>871</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729</v>
      </c>
    </row>
    <row r="110" spans="2:42" x14ac:dyDescent="0.25">
      <c r="B110" s="5" t="s">
        <v>537</v>
      </c>
      <c r="C110" s="5" t="s">
        <v>1916</v>
      </c>
      <c r="D110" s="271">
        <v>45997</v>
      </c>
      <c r="E110" s="5">
        <v>20240510</v>
      </c>
      <c r="F110" s="265" t="s">
        <v>871</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729</v>
      </c>
    </row>
    <row r="111" spans="2:42" x14ac:dyDescent="0.25">
      <c r="B111" s="5" t="s">
        <v>537</v>
      </c>
      <c r="C111" s="5" t="s">
        <v>1917</v>
      </c>
      <c r="D111" s="271">
        <v>45997</v>
      </c>
      <c r="E111" s="5">
        <v>20240510</v>
      </c>
      <c r="F111" s="265" t="s">
        <v>871</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729</v>
      </c>
    </row>
    <row r="112" spans="2:42" x14ac:dyDescent="0.25">
      <c r="B112" s="5" t="s">
        <v>537</v>
      </c>
      <c r="C112" s="5" t="s">
        <v>1917</v>
      </c>
      <c r="D112" s="271">
        <v>45997</v>
      </c>
      <c r="E112" s="5">
        <v>20240510</v>
      </c>
      <c r="F112" s="265" t="s">
        <v>871</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729</v>
      </c>
    </row>
    <row r="113" spans="2:42" x14ac:dyDescent="0.25">
      <c r="B113" s="5" t="s">
        <v>537</v>
      </c>
      <c r="C113" s="5" t="s">
        <v>1918</v>
      </c>
      <c r="D113" s="271">
        <v>45997</v>
      </c>
      <c r="E113" s="5">
        <v>20240510</v>
      </c>
      <c r="F113" s="265" t="s">
        <v>871</v>
      </c>
      <c r="H113" s="265"/>
      <c r="I113" s="265"/>
      <c r="J113" s="265"/>
      <c r="K113" s="265"/>
      <c r="L113" s="265"/>
      <c r="M113" s="265"/>
      <c r="O113" s="265"/>
      <c r="P113" s="265"/>
      <c r="Q113" s="265"/>
      <c r="R113" s="265"/>
      <c r="S113" s="265">
        <v>4.95</v>
      </c>
      <c r="T113" s="265"/>
      <c r="U113" s="265"/>
      <c r="V113" s="265"/>
      <c r="W113" s="265"/>
      <c r="X113" s="265"/>
      <c r="Y113" s="265"/>
      <c r="AA113" s="265">
        <v>25</v>
      </c>
      <c r="AB113" s="265"/>
      <c r="AC113" s="5">
        <v>25</v>
      </c>
      <c r="AD113" s="265"/>
      <c r="AE113" s="265"/>
      <c r="AF113" s="265"/>
      <c r="AG113" s="265"/>
      <c r="AH113" s="265"/>
      <c r="AI113" s="265"/>
      <c r="AJ113" s="265"/>
      <c r="AK113" s="265"/>
      <c r="AL113" s="265"/>
      <c r="AM113" s="265"/>
      <c r="AP113" s="137" t="s">
        <v>729</v>
      </c>
    </row>
    <row r="114" spans="2:42" x14ac:dyDescent="0.25">
      <c r="B114" s="5" t="s">
        <v>537</v>
      </c>
      <c r="C114" s="5" t="s">
        <v>1918</v>
      </c>
      <c r="D114" s="271">
        <v>45997</v>
      </c>
      <c r="E114" s="5">
        <v>20240510</v>
      </c>
      <c r="F114" s="265" t="s">
        <v>871</v>
      </c>
      <c r="H114" s="265"/>
      <c r="I114" s="265"/>
      <c r="J114" s="265"/>
      <c r="K114" s="265"/>
      <c r="L114" s="265"/>
      <c r="M114" s="265"/>
      <c r="O114" s="265"/>
      <c r="P114" s="265"/>
      <c r="Q114" s="265"/>
      <c r="R114" s="265"/>
      <c r="S114" s="265">
        <v>4.95</v>
      </c>
      <c r="T114" s="265"/>
      <c r="U114" s="265"/>
      <c r="V114" s="265"/>
      <c r="W114" s="265"/>
      <c r="X114" s="265"/>
      <c r="Y114" s="265"/>
      <c r="AA114" s="265">
        <v>25</v>
      </c>
      <c r="AB114" s="265"/>
      <c r="AC114" s="5">
        <v>25</v>
      </c>
      <c r="AD114" s="265"/>
      <c r="AE114" s="265"/>
      <c r="AF114" s="265"/>
      <c r="AG114" s="265"/>
      <c r="AH114" s="265"/>
      <c r="AI114" s="265"/>
      <c r="AJ114" s="265"/>
      <c r="AK114" s="265"/>
      <c r="AL114" s="265"/>
      <c r="AM114" s="265"/>
      <c r="AP114" s="137" t="s">
        <v>729</v>
      </c>
    </row>
    <row r="115" spans="2:42" x14ac:dyDescent="0.25">
      <c r="B115" s="5" t="s">
        <v>539</v>
      </c>
      <c r="C115" s="5" t="s">
        <v>543</v>
      </c>
      <c r="D115" s="271">
        <v>46084</v>
      </c>
      <c r="E115" s="5" t="s">
        <v>894</v>
      </c>
      <c r="F115" s="265" t="s">
        <v>871</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729</v>
      </c>
    </row>
    <row r="116" spans="2:42" x14ac:dyDescent="0.25">
      <c r="B116" s="5" t="s">
        <v>539</v>
      </c>
      <c r="C116" s="5" t="s">
        <v>543</v>
      </c>
      <c r="D116" s="271">
        <v>46084</v>
      </c>
      <c r="E116" s="5" t="s">
        <v>894</v>
      </c>
      <c r="F116" s="265" t="s">
        <v>871</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729</v>
      </c>
    </row>
    <row r="117" spans="2:42" x14ac:dyDescent="0.25">
      <c r="B117" s="5" t="s">
        <v>539</v>
      </c>
      <c r="C117" s="5" t="s">
        <v>543</v>
      </c>
      <c r="D117" s="271">
        <v>46084</v>
      </c>
      <c r="E117" s="5" t="s">
        <v>894</v>
      </c>
      <c r="F117" s="265" t="s">
        <v>871</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729</v>
      </c>
    </row>
    <row r="118" spans="2:42" x14ac:dyDescent="0.25">
      <c r="B118" s="5" t="s">
        <v>539</v>
      </c>
      <c r="C118" s="5" t="s">
        <v>543</v>
      </c>
      <c r="D118" s="271">
        <v>46084</v>
      </c>
      <c r="E118" s="5" t="s">
        <v>894</v>
      </c>
      <c r="F118" s="265" t="s">
        <v>871</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729</v>
      </c>
    </row>
    <row r="119" spans="2:42" x14ac:dyDescent="0.25">
      <c r="B119" s="5" t="s">
        <v>539</v>
      </c>
      <c r="C119" s="5" t="s">
        <v>543</v>
      </c>
      <c r="D119" s="271">
        <v>46084</v>
      </c>
      <c r="E119" s="5" t="s">
        <v>894</v>
      </c>
      <c r="F119" s="265" t="s">
        <v>871</v>
      </c>
      <c r="G119" s="5">
        <v>30</v>
      </c>
      <c r="H119" s="265"/>
      <c r="I119" s="265"/>
      <c r="J119" s="265"/>
      <c r="K119" s="265"/>
      <c r="L119" s="265"/>
      <c r="M119" s="265"/>
      <c r="O119" s="265"/>
      <c r="P119" s="265"/>
      <c r="Q119" s="265"/>
      <c r="R119" s="265"/>
      <c r="S119" s="265">
        <v>5</v>
      </c>
      <c r="T119" s="265"/>
      <c r="U119" s="265"/>
      <c r="V119" s="265"/>
      <c r="W119" s="265"/>
      <c r="X119" s="265"/>
      <c r="Y119" s="265"/>
      <c r="Z119" s="5">
        <v>25</v>
      </c>
      <c r="AA119" s="265"/>
      <c r="AB119" s="265">
        <v>25</v>
      </c>
      <c r="AD119" s="265"/>
      <c r="AE119" s="265"/>
      <c r="AF119" s="265"/>
      <c r="AG119" s="265"/>
      <c r="AH119" s="265"/>
      <c r="AI119" s="265"/>
      <c r="AJ119" s="265"/>
      <c r="AK119" s="265"/>
      <c r="AL119" s="265"/>
      <c r="AM119" s="265"/>
      <c r="AP119" s="137" t="s">
        <v>729</v>
      </c>
    </row>
    <row r="120" spans="2:42" x14ac:dyDescent="0.25">
      <c r="B120" s="5" t="s">
        <v>539</v>
      </c>
      <c r="C120" s="5" t="s">
        <v>543</v>
      </c>
      <c r="D120" s="271">
        <v>46084</v>
      </c>
      <c r="E120" s="5" t="s">
        <v>894</v>
      </c>
      <c r="F120" s="265" t="s">
        <v>871</v>
      </c>
      <c r="G120" s="5">
        <v>30</v>
      </c>
      <c r="H120" s="265"/>
      <c r="I120" s="265"/>
      <c r="J120" s="265"/>
      <c r="K120" s="265"/>
      <c r="L120" s="265"/>
      <c r="M120" s="265"/>
      <c r="O120" s="265"/>
      <c r="P120" s="265"/>
      <c r="Q120" s="265"/>
      <c r="R120" s="265"/>
      <c r="S120" s="265">
        <v>5</v>
      </c>
      <c r="T120" s="265"/>
      <c r="U120" s="265"/>
      <c r="V120" s="265"/>
      <c r="W120" s="265"/>
      <c r="X120" s="265"/>
      <c r="Y120" s="265"/>
      <c r="Z120" s="5">
        <v>25</v>
      </c>
      <c r="AA120" s="265"/>
      <c r="AB120" s="265">
        <v>25</v>
      </c>
      <c r="AD120" s="265"/>
      <c r="AE120" s="265"/>
      <c r="AF120" s="265"/>
      <c r="AG120" s="265"/>
      <c r="AH120" s="265"/>
      <c r="AI120" s="265"/>
      <c r="AJ120" s="265"/>
      <c r="AK120" s="265"/>
      <c r="AL120" s="265"/>
      <c r="AM120" s="265"/>
      <c r="AP120" s="137" t="s">
        <v>729</v>
      </c>
    </row>
    <row r="121" spans="2:42" x14ac:dyDescent="0.25">
      <c r="B121" s="5" t="s">
        <v>895</v>
      </c>
      <c r="C121" s="5" t="s">
        <v>556</v>
      </c>
      <c r="D121" s="271">
        <v>36892</v>
      </c>
      <c r="E121" s="5" t="s">
        <v>896</v>
      </c>
      <c r="F121" s="265" t="s">
        <v>871</v>
      </c>
      <c r="G121" s="5">
        <v>35</v>
      </c>
      <c r="H121" s="265">
        <v>5</v>
      </c>
      <c r="I121" s="265">
        <v>5</v>
      </c>
      <c r="J121" s="265"/>
      <c r="K121" s="265"/>
      <c r="L121" s="265"/>
      <c r="M121" s="265" t="s">
        <v>897</v>
      </c>
      <c r="O121" s="265"/>
      <c r="P121" s="265">
        <v>75</v>
      </c>
      <c r="Q121" s="265"/>
      <c r="R121" s="265"/>
      <c r="S121" s="265">
        <v>75</v>
      </c>
      <c r="T121" s="265"/>
      <c r="U121" s="265">
        <v>35</v>
      </c>
      <c r="V121" s="265">
        <v>10</v>
      </c>
      <c r="W121" s="265">
        <v>10</v>
      </c>
      <c r="X121" s="265"/>
      <c r="Y121" s="265"/>
      <c r="Z121" s="5">
        <v>10</v>
      </c>
      <c r="AA121" s="265">
        <v>50</v>
      </c>
      <c r="AB121" s="265"/>
      <c r="AC121" s="5">
        <v>35</v>
      </c>
      <c r="AD121" s="265"/>
      <c r="AE121" s="265"/>
      <c r="AF121" s="265"/>
      <c r="AG121" s="265"/>
      <c r="AH121" s="265">
        <v>75</v>
      </c>
      <c r="AI121" s="265"/>
      <c r="AJ121" s="265">
        <v>5</v>
      </c>
      <c r="AK121" s="265">
        <v>50</v>
      </c>
      <c r="AL121" s="265"/>
      <c r="AM121" s="265"/>
      <c r="AP121" s="137" t="s">
        <v>293</v>
      </c>
    </row>
    <row r="122" spans="2:42" x14ac:dyDescent="0.25">
      <c r="B122" s="5" t="s">
        <v>568</v>
      </c>
      <c r="C122" s="5" t="s">
        <v>580</v>
      </c>
      <c r="D122" s="271">
        <v>46079</v>
      </c>
      <c r="E122" s="5" t="s">
        <v>898</v>
      </c>
      <c r="F122" s="265" t="s">
        <v>871</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568</v>
      </c>
      <c r="C123" s="5" t="s">
        <v>577</v>
      </c>
      <c r="D123" s="271">
        <v>46079</v>
      </c>
      <c r="E123" s="5" t="s">
        <v>898</v>
      </c>
      <c r="F123" s="265" t="s">
        <v>871</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568</v>
      </c>
      <c r="C124" s="5" t="s">
        <v>1833</v>
      </c>
      <c r="D124" s="271">
        <v>45883</v>
      </c>
      <c r="E124" s="5" t="s">
        <v>899</v>
      </c>
      <c r="F124" s="265" t="s">
        <v>871</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568</v>
      </c>
      <c r="C125" s="5" t="s">
        <v>1834</v>
      </c>
      <c r="D125" s="271">
        <v>45883</v>
      </c>
      <c r="E125" s="5" t="s">
        <v>899</v>
      </c>
      <c r="F125" s="265" t="s">
        <v>871</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568</v>
      </c>
      <c r="C126" s="5" t="s">
        <v>1835</v>
      </c>
      <c r="D126" s="271">
        <v>45612</v>
      </c>
      <c r="E126" s="5" t="s">
        <v>899</v>
      </c>
      <c r="F126" s="265" t="s">
        <v>871</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729</v>
      </c>
    </row>
    <row r="127" spans="2:42" x14ac:dyDescent="0.25">
      <c r="B127" s="5" t="s">
        <v>568</v>
      </c>
      <c r="C127" s="5" t="s">
        <v>1836</v>
      </c>
      <c r="D127" s="271">
        <v>45612</v>
      </c>
      <c r="E127" s="5" t="s">
        <v>899</v>
      </c>
      <c r="F127" s="265" t="s">
        <v>871</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729</v>
      </c>
    </row>
    <row r="128" spans="2:42" x14ac:dyDescent="0.25">
      <c r="B128" s="5" t="s">
        <v>568</v>
      </c>
      <c r="C128" s="5" t="s">
        <v>584</v>
      </c>
      <c r="D128" s="271">
        <v>45419</v>
      </c>
      <c r="E128" s="5" t="s">
        <v>900</v>
      </c>
      <c r="F128" s="265" t="s">
        <v>871</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568</v>
      </c>
      <c r="C129" s="5" t="s">
        <v>587</v>
      </c>
      <c r="D129" s="271">
        <v>45419</v>
      </c>
      <c r="E129" s="5" t="s">
        <v>900</v>
      </c>
      <c r="F129" s="265" t="s">
        <v>871</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568</v>
      </c>
      <c r="C130" s="5" t="s">
        <v>591</v>
      </c>
      <c r="D130" s="271">
        <v>45419</v>
      </c>
      <c r="E130" s="5" t="s">
        <v>900</v>
      </c>
      <c r="F130" s="265" t="s">
        <v>871</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568</v>
      </c>
      <c r="C131" s="5" t="s">
        <v>589</v>
      </c>
      <c r="D131" s="271">
        <v>45419</v>
      </c>
      <c r="E131" s="5" t="s">
        <v>900</v>
      </c>
      <c r="F131" s="265" t="s">
        <v>871</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293</v>
      </c>
    </row>
    <row r="132" spans="2:42" x14ac:dyDescent="0.25">
      <c r="B132" s="5" t="s">
        <v>601</v>
      </c>
      <c r="C132" s="5" t="s">
        <v>604</v>
      </c>
      <c r="D132" s="271">
        <v>45293</v>
      </c>
      <c r="E132" s="5" t="s">
        <v>902</v>
      </c>
      <c r="F132" s="265" t="s">
        <v>871</v>
      </c>
      <c r="G132" s="5">
        <v>35</v>
      </c>
      <c r="H132" s="265"/>
      <c r="I132" s="265"/>
      <c r="J132" s="265"/>
      <c r="K132" s="265" t="s">
        <v>903</v>
      </c>
      <c r="L132" s="265" t="s">
        <v>903</v>
      </c>
      <c r="M132" s="265"/>
      <c r="O132" s="265"/>
      <c r="P132" s="265"/>
      <c r="Q132" s="265"/>
      <c r="R132" s="265"/>
      <c r="S132" s="265"/>
      <c r="T132" s="265">
        <v>5</v>
      </c>
      <c r="U132" s="265"/>
      <c r="V132" s="265"/>
      <c r="W132" s="265"/>
      <c r="X132" s="265"/>
      <c r="Y132" s="265"/>
      <c r="AA132" s="265">
        <v>10</v>
      </c>
      <c r="AB132" s="265"/>
      <c r="AD132" s="265"/>
      <c r="AE132" s="265"/>
      <c r="AF132" s="265"/>
      <c r="AG132" s="265" t="s">
        <v>873</v>
      </c>
      <c r="AH132" s="265"/>
      <c r="AI132" s="265"/>
      <c r="AJ132" s="265"/>
      <c r="AK132" s="265"/>
      <c r="AL132" s="265"/>
      <c r="AM132" s="265"/>
      <c r="AP132" s="137" t="s">
        <v>729</v>
      </c>
    </row>
    <row r="133" spans="2:42" x14ac:dyDescent="0.25">
      <c r="B133" s="5" t="s">
        <v>609</v>
      </c>
      <c r="C133" s="5" t="s">
        <v>611</v>
      </c>
      <c r="D133" s="271">
        <v>46053</v>
      </c>
      <c r="E133" s="5" t="s">
        <v>901</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873</v>
      </c>
      <c r="AH133" s="265"/>
      <c r="AI133" s="265"/>
      <c r="AJ133" s="265"/>
      <c r="AK133" s="265"/>
      <c r="AL133" s="265"/>
      <c r="AM133" s="265"/>
      <c r="AP133" s="137" t="s">
        <v>729</v>
      </c>
    </row>
    <row r="134" spans="2:42" x14ac:dyDescent="0.25">
      <c r="B134" s="5" t="s">
        <v>609</v>
      </c>
      <c r="C134" s="5" t="s">
        <v>611</v>
      </c>
      <c r="D134" s="271">
        <v>46053</v>
      </c>
      <c r="E134" s="5" t="s">
        <v>901</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873</v>
      </c>
      <c r="AH134" s="265"/>
      <c r="AI134" s="265"/>
      <c r="AJ134" s="265"/>
      <c r="AK134" s="265"/>
      <c r="AL134" s="265"/>
      <c r="AM134" s="265"/>
      <c r="AP134" s="137" t="s">
        <v>729</v>
      </c>
    </row>
    <row r="135" spans="2:42" x14ac:dyDescent="0.25">
      <c r="B135" s="5" t="s">
        <v>623</v>
      </c>
      <c r="C135" s="5" t="s">
        <v>1938</v>
      </c>
      <c r="D135" s="271">
        <v>46220</v>
      </c>
      <c r="E135" s="5" t="s">
        <v>1939</v>
      </c>
      <c r="F135" s="265" t="s">
        <v>871</v>
      </c>
      <c r="G135" s="5">
        <v>29</v>
      </c>
      <c r="H135" s="265"/>
      <c r="I135" s="265">
        <v>4.95</v>
      </c>
      <c r="J135" s="265"/>
      <c r="K135" s="265"/>
      <c r="L135" s="265"/>
      <c r="M135" s="265"/>
      <c r="O135" s="265"/>
      <c r="P135" s="265"/>
      <c r="Q135" s="265"/>
      <c r="R135" s="265"/>
      <c r="S135" s="265"/>
      <c r="T135" s="265"/>
      <c r="U135" s="265"/>
      <c r="V135" s="265"/>
      <c r="W135" s="265"/>
      <c r="X135" s="265"/>
      <c r="Y135" s="265"/>
      <c r="AA135" s="265"/>
      <c r="AB135" s="265"/>
      <c r="AC135" s="5">
        <v>25</v>
      </c>
      <c r="AD135" s="265"/>
      <c r="AE135" s="265"/>
      <c r="AF135" s="265">
        <v>30</v>
      </c>
      <c r="AG135" s="265"/>
      <c r="AH135" s="265"/>
      <c r="AI135" s="265"/>
      <c r="AJ135" s="265"/>
      <c r="AK135" s="265"/>
      <c r="AL135" s="265"/>
      <c r="AM135" s="265"/>
      <c r="AP135" s="137" t="s">
        <v>729</v>
      </c>
    </row>
    <row r="136" spans="2:42" x14ac:dyDescent="0.25">
      <c r="B136" s="5" t="s">
        <v>623</v>
      </c>
      <c r="C136" s="5" t="s">
        <v>1940</v>
      </c>
      <c r="D136" s="271">
        <v>46220</v>
      </c>
      <c r="E136" s="5" t="s">
        <v>1939</v>
      </c>
      <c r="F136" s="265" t="s">
        <v>871</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729</v>
      </c>
    </row>
    <row r="137" spans="2:42" x14ac:dyDescent="0.25">
      <c r="B137" s="5" t="s">
        <v>623</v>
      </c>
      <c r="C137" s="5" t="s">
        <v>1941</v>
      </c>
      <c r="D137" s="271">
        <v>46220</v>
      </c>
      <c r="E137" s="5" t="s">
        <v>1939</v>
      </c>
      <c r="F137" s="265" t="s">
        <v>871</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729</v>
      </c>
    </row>
    <row r="138" spans="2:42" x14ac:dyDescent="0.25">
      <c r="B138" s="5" t="s">
        <v>623</v>
      </c>
      <c r="C138" s="5" t="s">
        <v>1942</v>
      </c>
      <c r="D138" s="271">
        <v>46220</v>
      </c>
      <c r="E138" s="5" t="s">
        <v>1939</v>
      </c>
      <c r="F138" s="265" t="s">
        <v>871</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729</v>
      </c>
    </row>
    <row r="139" spans="2:42" x14ac:dyDescent="0.25">
      <c r="B139" s="5" t="s">
        <v>624</v>
      </c>
      <c r="C139" s="5" t="s">
        <v>1621</v>
      </c>
      <c r="D139" s="271">
        <v>46210</v>
      </c>
      <c r="E139" s="5" t="s">
        <v>1837</v>
      </c>
      <c r="F139" s="265" t="s">
        <v>871</v>
      </c>
      <c r="G139" s="5">
        <v>30</v>
      </c>
      <c r="H139" s="265"/>
      <c r="I139" s="265"/>
      <c r="J139" s="265"/>
      <c r="K139" s="265"/>
      <c r="L139" s="265"/>
      <c r="M139" s="265"/>
      <c r="O139" s="265"/>
      <c r="P139" s="265"/>
      <c r="Q139" s="265"/>
      <c r="R139" s="265"/>
      <c r="S139" s="265"/>
      <c r="T139" s="265">
        <v>5</v>
      </c>
      <c r="U139" s="265"/>
      <c r="V139" s="265"/>
      <c r="W139" s="265"/>
      <c r="X139" s="265"/>
      <c r="Y139" s="265"/>
      <c r="AA139" s="265">
        <v>10</v>
      </c>
      <c r="AB139" s="265"/>
      <c r="AD139" s="265"/>
      <c r="AE139" s="265"/>
      <c r="AF139" s="265"/>
      <c r="AG139" s="265"/>
      <c r="AH139" s="265"/>
      <c r="AI139" s="265">
        <v>5</v>
      </c>
      <c r="AJ139" s="265"/>
      <c r="AK139" s="265"/>
      <c r="AL139" s="265"/>
      <c r="AM139" s="265"/>
      <c r="AP139" s="137" t="s">
        <v>729</v>
      </c>
    </row>
    <row r="140" spans="2:42" x14ac:dyDescent="0.25">
      <c r="B140" s="5" t="s">
        <v>632</v>
      </c>
      <c r="C140" s="5" t="s">
        <v>1676</v>
      </c>
      <c r="D140" s="271">
        <v>46085</v>
      </c>
      <c r="E140" s="5" t="s">
        <v>1677</v>
      </c>
      <c r="F140" s="265" t="s">
        <v>871</v>
      </c>
      <c r="G140" s="5">
        <v>40</v>
      </c>
      <c r="H140" s="265"/>
      <c r="I140" s="265"/>
      <c r="J140" s="265"/>
      <c r="K140" s="265"/>
      <c r="L140" s="265"/>
      <c r="M140" s="265"/>
      <c r="O140" s="265"/>
      <c r="P140" s="265">
        <v>4.75</v>
      </c>
      <c r="Q140" s="265"/>
      <c r="R140" s="265"/>
      <c r="S140" s="265"/>
      <c r="T140" s="265">
        <v>2.75</v>
      </c>
      <c r="U140" s="265"/>
      <c r="V140" s="265"/>
      <c r="W140" s="265"/>
      <c r="X140" s="265"/>
      <c r="Y140" s="265"/>
      <c r="Z140" s="5">
        <v>19.07</v>
      </c>
      <c r="AA140" s="265"/>
      <c r="AB140" s="265">
        <v>42.95</v>
      </c>
      <c r="AC140" s="5">
        <v>34.950000000000003</v>
      </c>
      <c r="AD140" s="265"/>
      <c r="AE140" s="265"/>
      <c r="AF140" s="265">
        <v>75</v>
      </c>
      <c r="AG140" s="265"/>
      <c r="AH140" s="265"/>
      <c r="AI140" s="265"/>
      <c r="AJ140" s="265"/>
      <c r="AK140" s="265"/>
      <c r="AL140" s="265"/>
      <c r="AM140" s="265"/>
      <c r="AP140" s="137" t="s">
        <v>729</v>
      </c>
    </row>
    <row r="141" spans="2:42" x14ac:dyDescent="0.25">
      <c r="B141" s="5" t="s">
        <v>632</v>
      </c>
      <c r="C141" s="5" t="s">
        <v>1676</v>
      </c>
      <c r="D141" s="271">
        <v>46085</v>
      </c>
      <c r="E141" s="5" t="s">
        <v>1677</v>
      </c>
      <c r="F141" s="265" t="s">
        <v>871</v>
      </c>
      <c r="G141" s="5">
        <v>40</v>
      </c>
      <c r="H141" s="265"/>
      <c r="I141" s="265"/>
      <c r="J141" s="265"/>
      <c r="K141" s="265"/>
      <c r="L141" s="265"/>
      <c r="M141" s="265"/>
      <c r="O141" s="265"/>
      <c r="P141" s="265">
        <v>4.75</v>
      </c>
      <c r="Q141" s="265"/>
      <c r="R141" s="265"/>
      <c r="S141" s="265"/>
      <c r="T141" s="265">
        <v>2.75</v>
      </c>
      <c r="U141" s="265"/>
      <c r="V141" s="265"/>
      <c r="W141" s="265"/>
      <c r="X141" s="265"/>
      <c r="Y141" s="265"/>
      <c r="Z141" s="5">
        <v>19.07</v>
      </c>
      <c r="AA141" s="265"/>
      <c r="AB141" s="265">
        <v>42.95</v>
      </c>
      <c r="AC141" s="5">
        <v>34.950000000000003</v>
      </c>
      <c r="AD141" s="265"/>
      <c r="AE141" s="265"/>
      <c r="AF141" s="265">
        <v>75</v>
      </c>
      <c r="AG141" s="265"/>
      <c r="AH141" s="265"/>
      <c r="AI141" s="265"/>
      <c r="AJ141" s="265"/>
      <c r="AK141" s="265"/>
      <c r="AL141" s="265"/>
      <c r="AM141" s="265"/>
      <c r="AP141" s="137" t="s">
        <v>729</v>
      </c>
    </row>
    <row r="142" spans="2:42" x14ac:dyDescent="0.25">
      <c r="B142" s="5" t="s">
        <v>632</v>
      </c>
      <c r="C142" s="5" t="s">
        <v>1676</v>
      </c>
      <c r="D142" s="271">
        <v>46085</v>
      </c>
      <c r="E142" s="5" t="s">
        <v>1677</v>
      </c>
      <c r="F142" s="265" t="s">
        <v>871</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729</v>
      </c>
    </row>
    <row r="143" spans="2:42" x14ac:dyDescent="0.25">
      <c r="B143" s="5" t="s">
        <v>632</v>
      </c>
      <c r="C143" s="5" t="s">
        <v>1676</v>
      </c>
      <c r="D143" s="271">
        <v>46085</v>
      </c>
      <c r="E143" s="5" t="s">
        <v>1677</v>
      </c>
      <c r="F143" s="265" t="s">
        <v>871</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729</v>
      </c>
    </row>
    <row r="144" spans="2:42" x14ac:dyDescent="0.25">
      <c r="B144" s="5" t="s">
        <v>632</v>
      </c>
      <c r="C144" s="5" t="s">
        <v>1676</v>
      </c>
      <c r="D144" s="271">
        <v>46085</v>
      </c>
      <c r="E144" s="5" t="s">
        <v>1677</v>
      </c>
      <c r="F144" s="265" t="s">
        <v>871</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729</v>
      </c>
    </row>
    <row r="145" spans="2:42" x14ac:dyDescent="0.25">
      <c r="B145" s="5" t="s">
        <v>632</v>
      </c>
      <c r="C145" s="5" t="s">
        <v>1676</v>
      </c>
      <c r="D145" s="271">
        <v>46085</v>
      </c>
      <c r="E145" s="5" t="s">
        <v>1677</v>
      </c>
      <c r="F145" s="265" t="s">
        <v>871</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729</v>
      </c>
    </row>
    <row r="146" spans="2:42" x14ac:dyDescent="0.25">
      <c r="B146" s="5" t="s">
        <v>632</v>
      </c>
      <c r="C146" s="5" t="s">
        <v>1676</v>
      </c>
      <c r="D146" s="271">
        <v>46085</v>
      </c>
      <c r="E146" s="5" t="s">
        <v>1677</v>
      </c>
      <c r="F146" s="265" t="s">
        <v>871</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729</v>
      </c>
    </row>
    <row r="147" spans="2:42" x14ac:dyDescent="0.25">
      <c r="B147" s="5" t="s">
        <v>632</v>
      </c>
      <c r="C147" s="5" t="s">
        <v>1676</v>
      </c>
      <c r="D147" s="271">
        <v>46085</v>
      </c>
      <c r="E147" s="5" t="s">
        <v>1677</v>
      </c>
      <c r="F147" s="265" t="s">
        <v>871</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729</v>
      </c>
    </row>
    <row r="148" spans="2:42" x14ac:dyDescent="0.25">
      <c r="B148" s="5" t="s">
        <v>632</v>
      </c>
      <c r="C148" s="5" t="s">
        <v>1676</v>
      </c>
      <c r="D148" s="271">
        <v>46085</v>
      </c>
      <c r="E148" s="5" t="s">
        <v>1677</v>
      </c>
      <c r="F148" s="265" t="s">
        <v>871</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729</v>
      </c>
    </row>
    <row r="149" spans="2:42" x14ac:dyDescent="0.25">
      <c r="B149" s="5" t="s">
        <v>632</v>
      </c>
      <c r="C149" s="5" t="s">
        <v>1676</v>
      </c>
      <c r="D149" s="271">
        <v>46085</v>
      </c>
      <c r="E149" s="5" t="s">
        <v>1677</v>
      </c>
      <c r="F149" s="265" t="s">
        <v>871</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729</v>
      </c>
    </row>
    <row r="150" spans="2:42" x14ac:dyDescent="0.25">
      <c r="B150" s="5" t="s">
        <v>633</v>
      </c>
      <c r="C150" s="5" t="s">
        <v>637</v>
      </c>
      <c r="D150" s="271">
        <v>46084</v>
      </c>
      <c r="E150" s="5" t="s">
        <v>904</v>
      </c>
      <c r="F150" s="265">
        <v>0.05</v>
      </c>
      <c r="G150" s="5">
        <v>30</v>
      </c>
      <c r="H150" s="265"/>
      <c r="I150" s="265"/>
      <c r="J150" s="265"/>
      <c r="K150" s="265"/>
      <c r="L150" s="265"/>
      <c r="M150" s="265"/>
      <c r="O150" s="265"/>
      <c r="P150" s="265"/>
      <c r="Q150" s="265"/>
      <c r="R150" s="265"/>
      <c r="S150" s="265"/>
      <c r="T150" s="265"/>
      <c r="U150" s="265"/>
      <c r="V150" s="265"/>
      <c r="W150" s="265"/>
      <c r="X150" s="265"/>
      <c r="Y150" s="265"/>
      <c r="Z150" s="5">
        <v>25</v>
      </c>
      <c r="AA150" s="265"/>
      <c r="AB150" s="265">
        <v>25</v>
      </c>
      <c r="AD150" s="265"/>
      <c r="AE150" s="265"/>
      <c r="AF150" s="265"/>
      <c r="AG150" s="265"/>
      <c r="AH150" s="265"/>
      <c r="AI150" s="265"/>
      <c r="AJ150" s="265"/>
      <c r="AK150" s="265"/>
      <c r="AL150" s="265"/>
      <c r="AM150" s="265"/>
      <c r="AP150" s="137" t="s">
        <v>729</v>
      </c>
    </row>
    <row r="151" spans="2:42" x14ac:dyDescent="0.25">
      <c r="B151" s="5" t="s">
        <v>633</v>
      </c>
      <c r="C151" s="5" t="s">
        <v>637</v>
      </c>
      <c r="D151" s="271">
        <v>46084</v>
      </c>
      <c r="E151" s="5" t="s">
        <v>904</v>
      </c>
      <c r="F151" s="265">
        <v>0.05</v>
      </c>
      <c r="G151" s="5">
        <v>30</v>
      </c>
      <c r="H151" s="265"/>
      <c r="I151" s="265"/>
      <c r="J151" s="265"/>
      <c r="K151" s="265"/>
      <c r="L151" s="265"/>
      <c r="M151" s="265"/>
      <c r="O151" s="265"/>
      <c r="P151" s="265"/>
      <c r="Q151" s="265"/>
      <c r="R151" s="265"/>
      <c r="S151" s="265"/>
      <c r="T151" s="265"/>
      <c r="U151" s="265"/>
      <c r="V151" s="265"/>
      <c r="W151" s="265"/>
      <c r="X151" s="265"/>
      <c r="Y151" s="265"/>
      <c r="Z151" s="5">
        <v>25</v>
      </c>
      <c r="AA151" s="265"/>
      <c r="AB151" s="265">
        <v>25</v>
      </c>
      <c r="AD151" s="265"/>
      <c r="AE151" s="265"/>
      <c r="AF151" s="265"/>
      <c r="AG151" s="265"/>
      <c r="AH151" s="265"/>
      <c r="AI151" s="265"/>
      <c r="AJ151" s="265"/>
      <c r="AK151" s="265"/>
      <c r="AL151" s="265"/>
      <c r="AM151" s="265"/>
      <c r="AP151" s="137" t="s">
        <v>729</v>
      </c>
    </row>
    <row r="152" spans="2:42" x14ac:dyDescent="0.25">
      <c r="B152" s="5" t="s">
        <v>633</v>
      </c>
      <c r="C152" s="5" t="s">
        <v>637</v>
      </c>
      <c r="D152" s="271">
        <v>46084</v>
      </c>
      <c r="E152" s="5" t="s">
        <v>904</v>
      </c>
      <c r="F152" s="265">
        <v>0.05</v>
      </c>
      <c r="G152" s="5">
        <v>30</v>
      </c>
      <c r="H152" s="265"/>
      <c r="I152" s="265"/>
      <c r="J152" s="265"/>
      <c r="K152" s="265"/>
      <c r="L152" s="265"/>
      <c r="M152" s="265"/>
      <c r="O152" s="265"/>
      <c r="P152" s="265"/>
      <c r="Q152" s="265"/>
      <c r="R152" s="265"/>
      <c r="S152" s="265"/>
      <c r="T152" s="265"/>
      <c r="U152" s="265"/>
      <c r="V152" s="265"/>
      <c r="W152" s="265"/>
      <c r="X152" s="265"/>
      <c r="Y152" s="265"/>
      <c r="Z152" s="5">
        <v>25</v>
      </c>
      <c r="AA152" s="265"/>
      <c r="AB152" s="265">
        <v>25</v>
      </c>
      <c r="AD152" s="265"/>
      <c r="AE152" s="265"/>
      <c r="AF152" s="265"/>
      <c r="AG152" s="265"/>
      <c r="AH152" s="265"/>
      <c r="AI152" s="265"/>
      <c r="AJ152" s="265"/>
      <c r="AK152" s="265"/>
      <c r="AL152" s="265"/>
      <c r="AM152" s="265"/>
      <c r="AP152" s="137" t="s">
        <v>729</v>
      </c>
    </row>
    <row r="153" spans="2:42" x14ac:dyDescent="0.25">
      <c r="B153" s="5" t="s">
        <v>633</v>
      </c>
      <c r="C153" s="5" t="s">
        <v>637</v>
      </c>
      <c r="D153" s="271">
        <v>46084</v>
      </c>
      <c r="E153" s="5" t="s">
        <v>904</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729</v>
      </c>
    </row>
    <row r="154" spans="2:42" x14ac:dyDescent="0.25">
      <c r="B154" s="5" t="s">
        <v>633</v>
      </c>
      <c r="C154" s="5" t="s">
        <v>637</v>
      </c>
      <c r="D154" s="271">
        <v>46084</v>
      </c>
      <c r="E154" s="5" t="s">
        <v>904</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729</v>
      </c>
    </row>
    <row r="155" spans="2:42" x14ac:dyDescent="0.25">
      <c r="B155" s="5" t="s">
        <v>633</v>
      </c>
      <c r="C155" s="5" t="s">
        <v>637</v>
      </c>
      <c r="D155" s="271">
        <v>46084</v>
      </c>
      <c r="E155" s="5" t="s">
        <v>904</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729</v>
      </c>
    </row>
    <row r="156" spans="2:42" x14ac:dyDescent="0.25">
      <c r="B156" s="5" t="s">
        <v>645</v>
      </c>
      <c r="C156" s="5" t="s">
        <v>649</v>
      </c>
      <c r="D156" s="271">
        <v>36892</v>
      </c>
      <c r="E156" s="5" t="s">
        <v>905</v>
      </c>
      <c r="F156" s="265" t="s">
        <v>871</v>
      </c>
      <c r="G156" s="5">
        <v>35</v>
      </c>
      <c r="H156" s="265"/>
      <c r="I156" s="265">
        <v>5</v>
      </c>
      <c r="J156" s="265"/>
      <c r="K156" s="265"/>
      <c r="L156" s="265"/>
      <c r="M156" s="265"/>
      <c r="N156" s="5">
        <v>75</v>
      </c>
      <c r="O156" s="265"/>
      <c r="P156" s="265">
        <v>75</v>
      </c>
      <c r="Q156" s="265"/>
      <c r="R156" s="265"/>
      <c r="S156" s="265"/>
      <c r="T156" s="265"/>
      <c r="U156" s="265">
        <v>35</v>
      </c>
      <c r="V156" s="265">
        <v>10</v>
      </c>
      <c r="W156" s="265"/>
      <c r="X156" s="265"/>
      <c r="Y156" s="265"/>
      <c r="Z156" s="5">
        <v>10</v>
      </c>
      <c r="AA156" s="265">
        <v>50</v>
      </c>
      <c r="AB156" s="265"/>
      <c r="AC156" s="5">
        <v>35</v>
      </c>
      <c r="AD156" s="265"/>
      <c r="AE156" s="265"/>
      <c r="AF156" s="265"/>
      <c r="AG156" s="265"/>
      <c r="AH156" s="265"/>
      <c r="AI156" s="265"/>
      <c r="AJ156" s="265">
        <v>5</v>
      </c>
      <c r="AK156" s="265">
        <v>50</v>
      </c>
      <c r="AL156" s="265"/>
      <c r="AM156" s="265"/>
      <c r="AP156" s="137" t="s">
        <v>729</v>
      </c>
    </row>
    <row r="157" spans="2:42" x14ac:dyDescent="0.25">
      <c r="B157" s="5" t="s">
        <v>661</v>
      </c>
      <c r="C157" s="5" t="s">
        <v>664</v>
      </c>
      <c r="D157" s="271">
        <v>46065</v>
      </c>
      <c r="E157" s="5" t="s">
        <v>906</v>
      </c>
      <c r="F157" s="265" t="s">
        <v>871</v>
      </c>
      <c r="G157" s="5">
        <v>25</v>
      </c>
      <c r="H157" s="265"/>
      <c r="I157" s="265"/>
      <c r="J157" s="265"/>
      <c r="K157" s="265"/>
      <c r="L157" s="265"/>
      <c r="M157" s="265"/>
      <c r="O157" s="265"/>
      <c r="P157" s="265">
        <v>5</v>
      </c>
      <c r="Q157" s="265"/>
      <c r="R157" s="265"/>
      <c r="S157" s="265">
        <v>5</v>
      </c>
      <c r="T157" s="265">
        <v>5</v>
      </c>
      <c r="U157" s="265"/>
      <c r="V157" s="265"/>
      <c r="W157" s="265"/>
      <c r="X157" s="265"/>
      <c r="Y157" s="265"/>
      <c r="Z157" s="5">
        <v>25</v>
      </c>
      <c r="AA157" s="265">
        <v>25</v>
      </c>
      <c r="AB157" s="265"/>
      <c r="AD157" s="265"/>
      <c r="AE157" s="265"/>
      <c r="AF157" s="265"/>
      <c r="AG157" s="265"/>
      <c r="AH157" s="265"/>
      <c r="AI157" s="265"/>
      <c r="AJ157" s="265"/>
      <c r="AK157" s="265"/>
      <c r="AL157" s="265"/>
      <c r="AM157" s="265"/>
      <c r="AP157" s="137" t="s">
        <v>729</v>
      </c>
    </row>
    <row r="158" spans="2:42" x14ac:dyDescent="0.25">
      <c r="B158" s="5" t="s">
        <v>675</v>
      </c>
      <c r="C158" s="5" t="s">
        <v>679</v>
      </c>
      <c r="D158" s="271">
        <v>46135</v>
      </c>
      <c r="E158" s="5" t="s">
        <v>907</v>
      </c>
      <c r="F158" s="265">
        <v>0.05</v>
      </c>
      <c r="G158" s="5">
        <v>25</v>
      </c>
      <c r="H158" s="265">
        <v>4.95</v>
      </c>
      <c r="I158" s="265"/>
      <c r="J158" s="265"/>
      <c r="K158" s="265"/>
      <c r="L158" s="265"/>
      <c r="M158" s="265"/>
      <c r="O158" s="265"/>
      <c r="P158" s="265">
        <v>4.95</v>
      </c>
      <c r="Q158" s="265"/>
      <c r="R158" s="265"/>
      <c r="S158" s="265"/>
      <c r="T158" s="265">
        <v>2.95</v>
      </c>
      <c r="U158" s="265"/>
      <c r="V158" s="265"/>
      <c r="W158" s="265"/>
      <c r="X158" s="265"/>
      <c r="Y158" s="265"/>
      <c r="Z158" s="5">
        <v>25</v>
      </c>
      <c r="AA158" s="265">
        <v>25</v>
      </c>
      <c r="AB158" s="265"/>
      <c r="AC158" s="5">
        <v>25</v>
      </c>
      <c r="AD158" s="265"/>
      <c r="AE158" s="265"/>
      <c r="AF158" s="265">
        <v>24.95</v>
      </c>
      <c r="AG158" s="265"/>
      <c r="AH158" s="265"/>
      <c r="AI158" s="265"/>
      <c r="AJ158" s="265"/>
      <c r="AK158" s="265"/>
      <c r="AL158" s="265"/>
      <c r="AM158" s="265"/>
      <c r="AP158" s="137"/>
    </row>
    <row r="159" spans="2:42" x14ac:dyDescent="0.25">
      <c r="B159" s="5" t="s">
        <v>675</v>
      </c>
      <c r="C159" s="5" t="s">
        <v>679</v>
      </c>
      <c r="D159" s="271">
        <v>46135</v>
      </c>
      <c r="E159" s="5" t="s">
        <v>907</v>
      </c>
      <c r="F159" s="265">
        <v>0.05</v>
      </c>
      <c r="G159" s="5">
        <v>25</v>
      </c>
      <c r="H159" s="265">
        <v>4.95</v>
      </c>
      <c r="I159" s="265"/>
      <c r="J159" s="265"/>
      <c r="K159" s="265"/>
      <c r="L159" s="265"/>
      <c r="M159" s="265"/>
      <c r="O159" s="265"/>
      <c r="P159" s="265">
        <v>4.95</v>
      </c>
      <c r="Q159" s="265"/>
      <c r="R159" s="265"/>
      <c r="S159" s="265"/>
      <c r="T159" s="265">
        <v>2.95</v>
      </c>
      <c r="U159" s="265"/>
      <c r="V159" s="265"/>
      <c r="W159" s="265"/>
      <c r="X159" s="265"/>
      <c r="Y159" s="265"/>
      <c r="Z159" s="5">
        <v>25</v>
      </c>
      <c r="AA159" s="265">
        <v>25</v>
      </c>
      <c r="AB159" s="265"/>
      <c r="AC159" s="5">
        <v>25</v>
      </c>
      <c r="AD159" s="265"/>
      <c r="AE159" s="265"/>
      <c r="AF159" s="265">
        <v>24.95</v>
      </c>
      <c r="AG159" s="265"/>
      <c r="AH159" s="265"/>
      <c r="AI159" s="265"/>
      <c r="AJ159" s="265"/>
      <c r="AK159" s="265"/>
      <c r="AL159" s="265"/>
      <c r="AM159" s="265"/>
      <c r="AP159" s="137"/>
    </row>
    <row r="160" spans="2:42" x14ac:dyDescent="0.25">
      <c r="B160" s="5" t="s">
        <v>675</v>
      </c>
      <c r="C160" s="5" t="s">
        <v>679</v>
      </c>
      <c r="D160" s="271">
        <v>46135</v>
      </c>
      <c r="E160" s="5" t="s">
        <v>907</v>
      </c>
      <c r="F160" s="265">
        <v>0.05</v>
      </c>
      <c r="G160" s="5">
        <v>25</v>
      </c>
      <c r="H160" s="265">
        <v>4.95</v>
      </c>
      <c r="I160" s="265"/>
      <c r="J160" s="265"/>
      <c r="K160" s="265"/>
      <c r="L160" s="265"/>
      <c r="M160" s="265"/>
      <c r="O160" s="265"/>
      <c r="P160" s="265">
        <v>4.95</v>
      </c>
      <c r="Q160" s="265"/>
      <c r="R160" s="265"/>
      <c r="S160" s="265"/>
      <c r="T160" s="265">
        <v>2.95</v>
      </c>
      <c r="U160" s="265"/>
      <c r="V160" s="265"/>
      <c r="W160" s="265"/>
      <c r="X160" s="265"/>
      <c r="Y160" s="265"/>
      <c r="Z160" s="5">
        <v>25</v>
      </c>
      <c r="AA160" s="265">
        <v>25</v>
      </c>
      <c r="AB160" s="265"/>
      <c r="AC160" s="5">
        <v>25</v>
      </c>
      <c r="AD160" s="265"/>
      <c r="AE160" s="265"/>
      <c r="AF160" s="265">
        <v>24.95</v>
      </c>
      <c r="AG160" s="265"/>
      <c r="AH160" s="265"/>
      <c r="AI160" s="265"/>
      <c r="AJ160" s="265"/>
      <c r="AK160" s="265"/>
      <c r="AL160" s="265"/>
      <c r="AM160" s="265"/>
      <c r="AP160" s="137"/>
    </row>
    <row r="161" spans="2:42" x14ac:dyDescent="0.25">
      <c r="B161" s="5" t="s">
        <v>675</v>
      </c>
      <c r="C161" s="5" t="s">
        <v>679</v>
      </c>
      <c r="D161" s="271">
        <v>46135</v>
      </c>
      <c r="E161" s="5" t="s">
        <v>907</v>
      </c>
      <c r="F161" s="265">
        <v>0.05</v>
      </c>
      <c r="G161" s="5">
        <v>25</v>
      </c>
      <c r="H161" s="265">
        <v>4.95</v>
      </c>
      <c r="I161" s="265"/>
      <c r="J161" s="265"/>
      <c r="K161" s="265"/>
      <c r="L161" s="265"/>
      <c r="M161" s="265"/>
      <c r="O161" s="265"/>
      <c r="P161" s="265">
        <v>4.95</v>
      </c>
      <c r="Q161" s="265"/>
      <c r="R161" s="265"/>
      <c r="S161" s="265"/>
      <c r="T161" s="265">
        <v>2.95</v>
      </c>
      <c r="U161" s="265"/>
      <c r="V161" s="265"/>
      <c r="W161" s="265"/>
      <c r="X161" s="265"/>
      <c r="Y161" s="265"/>
      <c r="Z161" s="5">
        <v>25</v>
      </c>
      <c r="AA161" s="265">
        <v>25</v>
      </c>
      <c r="AB161" s="265"/>
      <c r="AC161" s="5">
        <v>25</v>
      </c>
      <c r="AD161" s="265"/>
      <c r="AE161" s="265"/>
      <c r="AF161" s="265">
        <v>24.95</v>
      </c>
      <c r="AG161" s="265"/>
      <c r="AH161" s="265"/>
      <c r="AI161" s="265"/>
      <c r="AJ161" s="265"/>
      <c r="AK161" s="265"/>
      <c r="AL161" s="265"/>
      <c r="AM161" s="265"/>
      <c r="AP161" s="137"/>
    </row>
    <row r="162" spans="2:42" x14ac:dyDescent="0.25">
      <c r="B162" s="5" t="s">
        <v>1269</v>
      </c>
      <c r="C162" s="5" t="s">
        <v>1632</v>
      </c>
      <c r="D162" s="271">
        <v>46170</v>
      </c>
      <c r="E162" s="5" t="s">
        <v>1633</v>
      </c>
      <c r="F162" s="265">
        <v>0.05</v>
      </c>
      <c r="G162" s="5">
        <v>40</v>
      </c>
      <c r="H162" s="265"/>
      <c r="I162" s="265"/>
      <c r="J162" s="265"/>
      <c r="K162" s="265"/>
      <c r="L162" s="265"/>
      <c r="M162" s="265"/>
      <c r="O162" s="265"/>
      <c r="P162" s="265"/>
      <c r="Q162" s="265"/>
      <c r="R162" s="265"/>
      <c r="S162" s="265"/>
      <c r="T162" s="265"/>
      <c r="U162" s="265">
        <v>25</v>
      </c>
      <c r="V162" s="265"/>
      <c r="W162" s="265"/>
      <c r="X162" s="265"/>
      <c r="Y162" s="265"/>
      <c r="Z162" s="5">
        <v>25</v>
      </c>
      <c r="AA162" s="265"/>
      <c r="AB162" s="265"/>
      <c r="AC162" s="5">
        <v>20</v>
      </c>
      <c r="AD162" s="265"/>
      <c r="AE162" s="265"/>
      <c r="AF162" s="265"/>
      <c r="AG162" s="265"/>
      <c r="AH162" s="265"/>
      <c r="AI162" s="265"/>
      <c r="AJ162" s="265"/>
      <c r="AK162" s="265"/>
      <c r="AL162" s="265"/>
      <c r="AM162" s="265"/>
      <c r="AP162" s="137" t="s">
        <v>729</v>
      </c>
    </row>
    <row r="163" spans="2:42" x14ac:dyDescent="0.25">
      <c r="B163" s="5" t="s">
        <v>1269</v>
      </c>
      <c r="C163" s="5" t="s">
        <v>1632</v>
      </c>
      <c r="D163" s="271">
        <v>46170</v>
      </c>
      <c r="E163" s="5" t="s">
        <v>1633</v>
      </c>
      <c r="F163" s="265">
        <v>0.05</v>
      </c>
      <c r="G163" s="5">
        <v>40</v>
      </c>
      <c r="H163" s="265"/>
      <c r="I163" s="265"/>
      <c r="J163" s="265"/>
      <c r="K163" s="265"/>
      <c r="L163" s="265"/>
      <c r="M163" s="265"/>
      <c r="O163" s="265"/>
      <c r="P163" s="265"/>
      <c r="Q163" s="265"/>
      <c r="R163" s="265"/>
      <c r="S163" s="265"/>
      <c r="T163" s="265"/>
      <c r="U163" s="265">
        <v>25</v>
      </c>
      <c r="V163" s="265"/>
      <c r="W163" s="265"/>
      <c r="X163" s="265"/>
      <c r="Y163" s="265"/>
      <c r="Z163" s="5">
        <v>25</v>
      </c>
      <c r="AA163" s="265"/>
      <c r="AB163" s="265"/>
      <c r="AC163" s="5">
        <v>20</v>
      </c>
      <c r="AD163" s="265"/>
      <c r="AE163" s="265"/>
      <c r="AF163" s="265"/>
      <c r="AG163" s="265"/>
      <c r="AH163" s="265"/>
      <c r="AI163" s="265"/>
      <c r="AJ163" s="265"/>
      <c r="AK163" s="265"/>
      <c r="AL163" s="265"/>
      <c r="AM163" s="265"/>
      <c r="AP163" s="137" t="s">
        <v>729</v>
      </c>
    </row>
    <row r="164" spans="2:42" x14ac:dyDescent="0.25">
      <c r="B164" s="5" t="s">
        <v>1269</v>
      </c>
      <c r="C164" s="5" t="s">
        <v>1632</v>
      </c>
      <c r="D164" s="271">
        <v>46170</v>
      </c>
      <c r="E164" s="5" t="s">
        <v>1633</v>
      </c>
      <c r="F164" s="265">
        <v>0.05</v>
      </c>
      <c r="G164" s="5">
        <v>40</v>
      </c>
      <c r="H164" s="265"/>
      <c r="I164" s="265"/>
      <c r="J164" s="265"/>
      <c r="K164" s="265"/>
      <c r="L164" s="265"/>
      <c r="M164" s="265"/>
      <c r="O164" s="265"/>
      <c r="P164" s="265"/>
      <c r="Q164" s="265"/>
      <c r="R164" s="265"/>
      <c r="S164" s="265"/>
      <c r="T164" s="265"/>
      <c r="U164" s="265">
        <v>25</v>
      </c>
      <c r="V164" s="265"/>
      <c r="W164" s="265"/>
      <c r="X164" s="265"/>
      <c r="Y164" s="265"/>
      <c r="Z164" s="5">
        <v>25</v>
      </c>
      <c r="AA164" s="265"/>
      <c r="AB164" s="265"/>
      <c r="AC164" s="5">
        <v>20</v>
      </c>
      <c r="AD164" s="265"/>
      <c r="AE164" s="265"/>
      <c r="AF164" s="265"/>
      <c r="AG164" s="265"/>
      <c r="AH164" s="265"/>
      <c r="AI164" s="265"/>
      <c r="AJ164" s="265"/>
      <c r="AK164" s="265"/>
      <c r="AL164" s="265"/>
      <c r="AM164" s="265"/>
      <c r="AP164" s="137" t="s">
        <v>729</v>
      </c>
    </row>
    <row r="165" spans="2:42" x14ac:dyDescent="0.25">
      <c r="B165" s="5" t="s">
        <v>1269</v>
      </c>
      <c r="C165" s="5" t="s">
        <v>1632</v>
      </c>
      <c r="D165" s="271">
        <v>46170</v>
      </c>
      <c r="E165" s="5" t="s">
        <v>1633</v>
      </c>
      <c r="F165" s="265">
        <v>0.05</v>
      </c>
      <c r="G165" s="5">
        <v>40</v>
      </c>
      <c r="H165" s="265"/>
      <c r="I165" s="265"/>
      <c r="J165" s="265"/>
      <c r="K165" s="265"/>
      <c r="L165" s="265"/>
      <c r="M165" s="265"/>
      <c r="O165" s="265"/>
      <c r="P165" s="265"/>
      <c r="Q165" s="265"/>
      <c r="R165" s="265"/>
      <c r="S165" s="265"/>
      <c r="T165" s="265"/>
      <c r="U165" s="265">
        <v>25</v>
      </c>
      <c r="V165" s="265"/>
      <c r="W165" s="265"/>
      <c r="X165" s="265"/>
      <c r="Y165" s="265"/>
      <c r="Z165" s="5">
        <v>25</v>
      </c>
      <c r="AA165" s="265"/>
      <c r="AB165" s="265"/>
      <c r="AC165" s="5">
        <v>20</v>
      </c>
      <c r="AD165" s="265"/>
      <c r="AE165" s="265"/>
      <c r="AF165" s="265"/>
      <c r="AG165" s="265"/>
      <c r="AH165" s="265"/>
      <c r="AI165" s="265"/>
      <c r="AJ165" s="265"/>
      <c r="AK165" s="265"/>
      <c r="AL165" s="265"/>
      <c r="AM165" s="265"/>
      <c r="AP165" s="137" t="s">
        <v>729</v>
      </c>
    </row>
    <row r="166" spans="2:42" x14ac:dyDescent="0.25">
      <c r="B166" s="5" t="s">
        <v>1269</v>
      </c>
      <c r="C166" s="5" t="s">
        <v>1632</v>
      </c>
      <c r="D166" s="271">
        <v>46170</v>
      </c>
      <c r="E166" s="5" t="s">
        <v>1633</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729</v>
      </c>
    </row>
    <row r="167" spans="2:42" x14ac:dyDescent="0.25">
      <c r="B167" s="5" t="s">
        <v>1269</v>
      </c>
      <c r="C167" s="5" t="s">
        <v>1632</v>
      </c>
      <c r="D167" s="271">
        <v>46170</v>
      </c>
      <c r="E167" s="5" t="s">
        <v>1633</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729</v>
      </c>
    </row>
    <row r="168" spans="2:42" x14ac:dyDescent="0.25">
      <c r="B168" s="5" t="s">
        <v>681</v>
      </c>
      <c r="C168" s="5" t="s">
        <v>1678</v>
      </c>
      <c r="D168" s="271">
        <v>46085</v>
      </c>
      <c r="E168" s="5" t="s">
        <v>1677</v>
      </c>
      <c r="F168" s="265" t="s">
        <v>871</v>
      </c>
      <c r="G168" s="5">
        <v>30</v>
      </c>
      <c r="H168" s="265"/>
      <c r="I168" s="265"/>
      <c r="J168" s="265"/>
      <c r="K168" s="265"/>
      <c r="L168" s="265"/>
      <c r="M168" s="265"/>
      <c r="O168" s="265"/>
      <c r="P168" s="265">
        <v>4.75</v>
      </c>
      <c r="Q168" s="265"/>
      <c r="R168" s="265"/>
      <c r="S168" s="265"/>
      <c r="T168" s="265">
        <v>2.75</v>
      </c>
      <c r="U168" s="265"/>
      <c r="V168" s="265"/>
      <c r="W168" s="265"/>
      <c r="X168" s="265"/>
      <c r="Y168" s="265"/>
      <c r="Z168" s="5">
        <v>12.83</v>
      </c>
      <c r="AA168" s="265"/>
      <c r="AB168" s="265">
        <v>27.95</v>
      </c>
      <c r="AC168" s="5">
        <v>19.95</v>
      </c>
      <c r="AD168" s="265"/>
      <c r="AE168" s="265"/>
      <c r="AF168" s="265">
        <v>35</v>
      </c>
      <c r="AG168" s="265"/>
      <c r="AH168" s="265"/>
      <c r="AI168" s="265"/>
      <c r="AJ168" s="265"/>
      <c r="AK168" s="265"/>
      <c r="AL168" s="265"/>
      <c r="AM168" s="265"/>
      <c r="AP168" s="137" t="s">
        <v>729</v>
      </c>
    </row>
    <row r="169" spans="2:42" x14ac:dyDescent="0.25">
      <c r="B169" s="5" t="s">
        <v>681</v>
      </c>
      <c r="C169" s="5" t="s">
        <v>1678</v>
      </c>
      <c r="D169" s="271">
        <v>46085</v>
      </c>
      <c r="E169" s="5" t="s">
        <v>1677</v>
      </c>
      <c r="F169" s="265" t="s">
        <v>871</v>
      </c>
      <c r="G169" s="5">
        <v>30</v>
      </c>
      <c r="H169" s="265"/>
      <c r="I169" s="265"/>
      <c r="J169" s="265"/>
      <c r="K169" s="265"/>
      <c r="L169" s="265"/>
      <c r="M169" s="265"/>
      <c r="O169" s="265"/>
      <c r="P169" s="265">
        <v>4.75</v>
      </c>
      <c r="Q169" s="265"/>
      <c r="R169" s="265"/>
      <c r="S169" s="265"/>
      <c r="T169" s="265">
        <v>2.75</v>
      </c>
      <c r="U169" s="265"/>
      <c r="V169" s="265"/>
      <c r="W169" s="265"/>
      <c r="X169" s="265"/>
      <c r="Y169" s="265"/>
      <c r="Z169" s="5">
        <v>12.83</v>
      </c>
      <c r="AA169" s="265"/>
      <c r="AB169" s="265">
        <v>27.95</v>
      </c>
      <c r="AC169" s="5">
        <v>19.95</v>
      </c>
      <c r="AD169" s="265"/>
      <c r="AE169" s="265"/>
      <c r="AF169" s="265">
        <v>35</v>
      </c>
      <c r="AG169" s="265"/>
      <c r="AH169" s="265"/>
      <c r="AI169" s="265"/>
      <c r="AJ169" s="265"/>
      <c r="AK169" s="265"/>
      <c r="AL169" s="265"/>
      <c r="AM169" s="265"/>
      <c r="AP169" s="137" t="s">
        <v>729</v>
      </c>
    </row>
    <row r="170" spans="2:42" x14ac:dyDescent="0.25">
      <c r="B170" s="5" t="s">
        <v>681</v>
      </c>
      <c r="C170" s="5" t="s">
        <v>1678</v>
      </c>
      <c r="D170" s="271">
        <v>46085</v>
      </c>
      <c r="E170" s="5" t="s">
        <v>1677</v>
      </c>
      <c r="F170" s="265" t="s">
        <v>871</v>
      </c>
      <c r="G170" s="5">
        <v>30</v>
      </c>
      <c r="H170" s="265"/>
      <c r="I170" s="265"/>
      <c r="J170" s="265"/>
      <c r="K170" s="265"/>
      <c r="L170" s="265"/>
      <c r="M170" s="265"/>
      <c r="O170" s="265"/>
      <c r="P170" s="265">
        <v>4.75</v>
      </c>
      <c r="Q170" s="265"/>
      <c r="R170" s="265"/>
      <c r="S170" s="265"/>
      <c r="T170" s="265">
        <v>2.75</v>
      </c>
      <c r="U170" s="265"/>
      <c r="V170" s="265"/>
      <c r="W170" s="265"/>
      <c r="X170" s="265"/>
      <c r="Y170" s="265"/>
      <c r="Z170" s="5">
        <v>12.83</v>
      </c>
      <c r="AA170" s="265"/>
      <c r="AB170" s="265">
        <v>27.95</v>
      </c>
      <c r="AC170" s="5">
        <v>19.95</v>
      </c>
      <c r="AD170" s="265"/>
      <c r="AE170" s="265"/>
      <c r="AF170" s="265">
        <v>35</v>
      </c>
      <c r="AG170" s="265"/>
      <c r="AH170" s="265"/>
      <c r="AI170" s="265"/>
      <c r="AJ170" s="265"/>
      <c r="AK170" s="265"/>
      <c r="AL170" s="265"/>
      <c r="AM170" s="265"/>
      <c r="AP170" s="137" t="s">
        <v>729</v>
      </c>
    </row>
    <row r="171" spans="2:42" x14ac:dyDescent="0.25">
      <c r="B171" s="5" t="s">
        <v>681</v>
      </c>
      <c r="C171" s="5" t="s">
        <v>1678</v>
      </c>
      <c r="D171" s="271">
        <v>46085</v>
      </c>
      <c r="E171" s="5" t="s">
        <v>1677</v>
      </c>
      <c r="F171" s="265" t="s">
        <v>871</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729</v>
      </c>
    </row>
    <row r="172" spans="2:42" x14ac:dyDescent="0.25">
      <c r="B172" s="5" t="s">
        <v>681</v>
      </c>
      <c r="C172" s="5" t="s">
        <v>1678</v>
      </c>
      <c r="D172" s="271">
        <v>46085</v>
      </c>
      <c r="E172" s="5" t="s">
        <v>1677</v>
      </c>
      <c r="F172" s="265" t="s">
        <v>871</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729</v>
      </c>
    </row>
    <row r="173" spans="2:42" x14ac:dyDescent="0.25">
      <c r="B173" s="5" t="s">
        <v>681</v>
      </c>
      <c r="C173" s="5" t="s">
        <v>1678</v>
      </c>
      <c r="D173" s="271">
        <v>46085</v>
      </c>
      <c r="E173" s="5" t="s">
        <v>1677</v>
      </c>
      <c r="F173" s="265" t="s">
        <v>871</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729</v>
      </c>
    </row>
    <row r="174" spans="2:42" x14ac:dyDescent="0.25">
      <c r="B174" s="5" t="s">
        <v>681</v>
      </c>
      <c r="C174" s="5" t="s">
        <v>1678</v>
      </c>
      <c r="D174" s="271">
        <v>46085</v>
      </c>
      <c r="E174" s="5" t="s">
        <v>1677</v>
      </c>
      <c r="F174" s="265" t="s">
        <v>871</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729</v>
      </c>
    </row>
    <row r="175" spans="2:42" x14ac:dyDescent="0.25">
      <c r="B175" s="5" t="s">
        <v>681</v>
      </c>
      <c r="C175" s="5" t="s">
        <v>1678</v>
      </c>
      <c r="D175" s="271">
        <v>46085</v>
      </c>
      <c r="E175" s="5" t="s">
        <v>1677</v>
      </c>
      <c r="F175" s="265" t="s">
        <v>871</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729</v>
      </c>
    </row>
    <row r="176" spans="2:42" x14ac:dyDescent="0.25">
      <c r="B176" s="5" t="s">
        <v>681</v>
      </c>
      <c r="C176" s="5" t="s">
        <v>1678</v>
      </c>
      <c r="D176" s="271">
        <v>46085</v>
      </c>
      <c r="E176" s="5" t="s">
        <v>1677</v>
      </c>
      <c r="F176" s="265" t="s">
        <v>871</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729</v>
      </c>
    </row>
    <row r="177" spans="2:42" x14ac:dyDescent="0.25">
      <c r="B177" s="5" t="s">
        <v>681</v>
      </c>
      <c r="C177" s="5" t="s">
        <v>1678</v>
      </c>
      <c r="D177" s="271">
        <v>46085</v>
      </c>
      <c r="E177" s="5" t="s">
        <v>1677</v>
      </c>
      <c r="F177" s="265" t="s">
        <v>871</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729</v>
      </c>
    </row>
    <row r="178" spans="2:42" x14ac:dyDescent="0.25">
      <c r="B178" s="5" t="s">
        <v>682</v>
      </c>
      <c r="C178" s="5" t="s">
        <v>693</v>
      </c>
      <c r="D178" s="271">
        <v>45116</v>
      </c>
      <c r="E178" s="5" t="s">
        <v>908</v>
      </c>
      <c r="F178" s="265" t="s">
        <v>871</v>
      </c>
      <c r="G178" s="5">
        <v>30</v>
      </c>
      <c r="H178" s="265"/>
      <c r="I178" s="265"/>
      <c r="J178" s="265"/>
      <c r="K178" s="265">
        <v>2.95</v>
      </c>
      <c r="L178" s="265">
        <v>2.95</v>
      </c>
      <c r="M178" s="265"/>
      <c r="O178" s="265"/>
      <c r="P178" s="265">
        <v>6.95</v>
      </c>
      <c r="Q178" s="265"/>
      <c r="R178" s="265"/>
      <c r="S178" s="265"/>
      <c r="T178" s="265"/>
      <c r="U178" s="265"/>
      <c r="V178" s="265"/>
      <c r="W178" s="265"/>
      <c r="X178" s="265"/>
      <c r="Y178" s="265"/>
      <c r="Z178" s="5">
        <v>9.99</v>
      </c>
      <c r="AA178" s="265">
        <v>50</v>
      </c>
      <c r="AB178" s="265"/>
      <c r="AD178" s="265"/>
      <c r="AE178" s="265">
        <v>3</v>
      </c>
      <c r="AF178" s="265"/>
      <c r="AG178" s="265"/>
      <c r="AH178" s="265"/>
      <c r="AI178" s="265"/>
      <c r="AJ178" s="265"/>
      <c r="AK178" s="265"/>
      <c r="AL178" s="265"/>
      <c r="AM178" s="265"/>
      <c r="AP178" s="137" t="s">
        <v>729</v>
      </c>
    </row>
    <row r="179" spans="2:42" x14ac:dyDescent="0.25">
      <c r="B179" s="5" t="s">
        <v>682</v>
      </c>
      <c r="C179" s="5" t="s">
        <v>685</v>
      </c>
      <c r="D179" s="271">
        <v>45116</v>
      </c>
      <c r="E179" s="5" t="s">
        <v>908</v>
      </c>
      <c r="F179" s="265" t="s">
        <v>871</v>
      </c>
      <c r="G179" s="5">
        <v>30</v>
      </c>
      <c r="H179" s="265"/>
      <c r="I179" s="265"/>
      <c r="J179" s="265"/>
      <c r="K179" s="265">
        <v>2.95</v>
      </c>
      <c r="L179" s="265">
        <v>2.95</v>
      </c>
      <c r="M179" s="265"/>
      <c r="O179" s="265"/>
      <c r="P179" s="265">
        <v>6.95</v>
      </c>
      <c r="Q179" s="265"/>
      <c r="R179" s="265"/>
      <c r="S179" s="265"/>
      <c r="T179" s="265"/>
      <c r="U179" s="265"/>
      <c r="V179" s="265"/>
      <c r="W179" s="265"/>
      <c r="X179" s="265"/>
      <c r="Y179" s="265"/>
      <c r="Z179" s="5">
        <v>9.99</v>
      </c>
      <c r="AA179" s="265">
        <v>50</v>
      </c>
      <c r="AB179" s="265"/>
      <c r="AD179" s="265"/>
      <c r="AE179" s="265">
        <v>3</v>
      </c>
      <c r="AF179" s="265"/>
      <c r="AG179" s="265"/>
      <c r="AH179" s="265"/>
      <c r="AI179" s="265"/>
      <c r="AJ179" s="265"/>
      <c r="AK179" s="265"/>
      <c r="AL179" s="265"/>
      <c r="AM179" s="265"/>
      <c r="AP179" s="137" t="s">
        <v>729</v>
      </c>
    </row>
    <row r="180" spans="2:42" x14ac:dyDescent="0.25">
      <c r="B180" s="5" t="s">
        <v>682</v>
      </c>
      <c r="C180" s="5" t="s">
        <v>691</v>
      </c>
      <c r="D180" s="271">
        <v>45116</v>
      </c>
      <c r="E180" s="5" t="s">
        <v>908</v>
      </c>
      <c r="F180" s="265" t="s">
        <v>871</v>
      </c>
      <c r="G180" s="5">
        <v>30</v>
      </c>
      <c r="H180" s="265"/>
      <c r="I180" s="265"/>
      <c r="J180" s="265"/>
      <c r="K180" s="265">
        <v>2.95</v>
      </c>
      <c r="L180" s="265">
        <v>2.95</v>
      </c>
      <c r="M180" s="265"/>
      <c r="O180" s="265"/>
      <c r="P180" s="265">
        <v>6.95</v>
      </c>
      <c r="Q180" s="265"/>
      <c r="R180" s="265"/>
      <c r="S180" s="265"/>
      <c r="T180" s="265"/>
      <c r="U180" s="265"/>
      <c r="V180" s="265"/>
      <c r="W180" s="265"/>
      <c r="X180" s="265"/>
      <c r="Y180" s="265"/>
      <c r="Z180" s="5">
        <v>9.99</v>
      </c>
      <c r="AA180" s="265">
        <v>50</v>
      </c>
      <c r="AB180" s="265"/>
      <c r="AD180" s="265"/>
      <c r="AE180" s="265">
        <v>3</v>
      </c>
      <c r="AF180" s="265"/>
      <c r="AG180" s="265"/>
      <c r="AH180" s="265"/>
      <c r="AI180" s="265"/>
      <c r="AJ180" s="265"/>
      <c r="AK180" s="265"/>
      <c r="AL180" s="265"/>
      <c r="AM180" s="265"/>
      <c r="AP180" s="137" t="s">
        <v>729</v>
      </c>
    </row>
    <row r="181" spans="2:42" x14ac:dyDescent="0.25">
      <c r="B181" s="5" t="s">
        <v>682</v>
      </c>
      <c r="C181" s="5" t="s">
        <v>2155</v>
      </c>
      <c r="D181" s="271">
        <v>36892</v>
      </c>
      <c r="E181" s="5" t="s">
        <v>908</v>
      </c>
      <c r="F181" s="265" t="s">
        <v>871</v>
      </c>
      <c r="G181" s="5">
        <v>30</v>
      </c>
      <c r="H181" s="265"/>
      <c r="I181" s="265"/>
      <c r="J181" s="265"/>
      <c r="K181" s="265">
        <v>2.95</v>
      </c>
      <c r="L181" s="265">
        <v>2.95</v>
      </c>
      <c r="M181" s="265"/>
      <c r="O181" s="265"/>
      <c r="P181" s="265">
        <v>6.95</v>
      </c>
      <c r="Q181" s="265"/>
      <c r="R181" s="265"/>
      <c r="S181" s="265"/>
      <c r="T181" s="265"/>
      <c r="U181" s="265"/>
      <c r="V181" s="265"/>
      <c r="W181" s="265"/>
      <c r="X181" s="265"/>
      <c r="Y181" s="265"/>
      <c r="Z181" s="5">
        <v>9.99</v>
      </c>
      <c r="AA181" s="265">
        <v>50</v>
      </c>
      <c r="AB181" s="265"/>
      <c r="AD181" s="265"/>
      <c r="AE181" s="265">
        <v>3</v>
      </c>
      <c r="AF181" s="265"/>
      <c r="AG181" s="265"/>
      <c r="AH181" s="265"/>
      <c r="AI181" s="265"/>
      <c r="AJ181" s="265"/>
      <c r="AK181" s="265"/>
      <c r="AL181" s="265"/>
      <c r="AM181" s="265"/>
      <c r="AP181" s="137" t="s">
        <v>729</v>
      </c>
    </row>
    <row r="182" spans="2:42" x14ac:dyDescent="0.25">
      <c r="B182" s="5" t="s">
        <v>682</v>
      </c>
      <c r="C182" s="5" t="s">
        <v>2156</v>
      </c>
      <c r="D182" s="271">
        <v>36892</v>
      </c>
      <c r="E182" s="5" t="s">
        <v>908</v>
      </c>
      <c r="F182" s="265" t="s">
        <v>871</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729</v>
      </c>
    </row>
    <row r="183" spans="2:42" x14ac:dyDescent="0.25">
      <c r="B183" s="5" t="s">
        <v>682</v>
      </c>
      <c r="C183" s="5" t="s">
        <v>698</v>
      </c>
      <c r="D183" s="271">
        <v>36892</v>
      </c>
      <c r="E183" s="5" t="s">
        <v>908</v>
      </c>
      <c r="F183" s="265" t="s">
        <v>871</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729</v>
      </c>
    </row>
    <row r="184" spans="2:42" x14ac:dyDescent="0.25">
      <c r="B184" s="5" t="s">
        <v>682</v>
      </c>
      <c r="C184" s="5" t="s">
        <v>701</v>
      </c>
      <c r="D184" s="271">
        <v>36892</v>
      </c>
      <c r="E184" s="5" t="s">
        <v>908</v>
      </c>
      <c r="F184" s="265" t="s">
        <v>871</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729</v>
      </c>
    </row>
    <row r="185" spans="2:42" x14ac:dyDescent="0.25">
      <c r="B185" s="5" t="s">
        <v>704</v>
      </c>
      <c r="C185" s="5" t="s">
        <v>716</v>
      </c>
      <c r="D185" s="271">
        <v>46081</v>
      </c>
      <c r="E185" s="5" t="s">
        <v>909</v>
      </c>
      <c r="F185" s="265">
        <v>0.05</v>
      </c>
      <c r="G185" s="5">
        <v>25</v>
      </c>
      <c r="H185" s="265"/>
      <c r="I185" s="265"/>
      <c r="J185" s="265"/>
      <c r="K185" s="265"/>
      <c r="L185" s="265"/>
      <c r="M185" s="265"/>
      <c r="O185" s="265"/>
      <c r="P185" s="265"/>
      <c r="Q185" s="265">
        <v>2.5</v>
      </c>
      <c r="R185" s="265"/>
      <c r="S185" s="265"/>
      <c r="T185" s="265">
        <v>2.95</v>
      </c>
      <c r="U185" s="265"/>
      <c r="V185" s="265"/>
      <c r="W185" s="265"/>
      <c r="X185" s="265"/>
      <c r="Y185" s="265"/>
      <c r="Z185" s="5">
        <v>25</v>
      </c>
      <c r="AA185" s="265">
        <v>25</v>
      </c>
      <c r="AB185" s="265"/>
      <c r="AD185" s="265"/>
      <c r="AE185" s="265"/>
      <c r="AF185" s="265"/>
      <c r="AG185" s="265"/>
      <c r="AH185" s="265"/>
      <c r="AI185" s="265"/>
      <c r="AJ185" s="265"/>
      <c r="AK185" s="265"/>
      <c r="AL185" s="265"/>
      <c r="AM185" s="265"/>
      <c r="AP185" s="137" t="s">
        <v>729</v>
      </c>
    </row>
    <row r="186" spans="2:42" x14ac:dyDescent="0.25">
      <c r="B186" s="5" t="s">
        <v>704</v>
      </c>
      <c r="C186" s="5" t="s">
        <v>713</v>
      </c>
      <c r="D186" s="271">
        <v>46081</v>
      </c>
      <c r="E186" s="5" t="s">
        <v>909</v>
      </c>
      <c r="F186" s="265">
        <v>0.05</v>
      </c>
      <c r="G186" s="5">
        <v>25</v>
      </c>
      <c r="H186" s="265"/>
      <c r="I186" s="265"/>
      <c r="J186" s="265"/>
      <c r="K186" s="265"/>
      <c r="L186" s="265"/>
      <c r="M186" s="265"/>
      <c r="O186" s="265"/>
      <c r="P186" s="265"/>
      <c r="Q186" s="265">
        <v>2.5</v>
      </c>
      <c r="R186" s="265"/>
      <c r="S186" s="265"/>
      <c r="T186" s="265">
        <v>2.95</v>
      </c>
      <c r="U186" s="265"/>
      <c r="V186" s="265"/>
      <c r="W186" s="265"/>
      <c r="X186" s="265"/>
      <c r="Y186" s="265"/>
      <c r="Z186" s="5">
        <v>25</v>
      </c>
      <c r="AA186" s="265">
        <v>25</v>
      </c>
      <c r="AB186" s="265"/>
      <c r="AD186" s="265"/>
      <c r="AE186" s="265"/>
      <c r="AF186" s="265"/>
      <c r="AG186" s="265"/>
      <c r="AH186" s="265"/>
      <c r="AI186" s="265"/>
      <c r="AJ186" s="265"/>
      <c r="AK186" s="265"/>
      <c r="AL186" s="265"/>
      <c r="AM186" s="265"/>
      <c r="AP186" s="137" t="s">
        <v>729</v>
      </c>
    </row>
    <row r="187" spans="2:42" x14ac:dyDescent="0.25">
      <c r="B187" s="5" t="s">
        <v>704</v>
      </c>
      <c r="C187" s="5" t="s">
        <v>1838</v>
      </c>
      <c r="D187" s="271">
        <v>45883</v>
      </c>
      <c r="E187" s="5" t="s">
        <v>1694</v>
      </c>
      <c r="F187" s="265" t="s">
        <v>871</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293</v>
      </c>
    </row>
    <row r="188" spans="2:42" x14ac:dyDescent="0.25">
      <c r="B188" s="5" t="s">
        <v>704</v>
      </c>
      <c r="C188" s="5" t="s">
        <v>1839</v>
      </c>
      <c r="D188" s="271">
        <v>45883</v>
      </c>
      <c r="E188" s="5" t="s">
        <v>1694</v>
      </c>
      <c r="F188" s="265" t="s">
        <v>871</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293</v>
      </c>
    </row>
    <row r="189" spans="2:42" x14ac:dyDescent="0.25">
      <c r="B189" s="5" t="s">
        <v>704</v>
      </c>
      <c r="C189" s="5" t="s">
        <v>1840</v>
      </c>
      <c r="D189" s="271">
        <v>45664</v>
      </c>
      <c r="E189" s="5" t="s">
        <v>1694</v>
      </c>
      <c r="F189" s="265" t="s">
        <v>871</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729</v>
      </c>
    </row>
    <row r="190" spans="2:42" x14ac:dyDescent="0.25">
      <c r="B190" s="5" t="s">
        <v>704</v>
      </c>
      <c r="C190" s="5" t="s">
        <v>1841</v>
      </c>
      <c r="D190" s="271">
        <v>45664</v>
      </c>
      <c r="E190" s="5" t="s">
        <v>1694</v>
      </c>
      <c r="F190" s="265" t="s">
        <v>871</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729</v>
      </c>
    </row>
    <row r="191" spans="2:42" x14ac:dyDescent="0.25">
      <c r="B191" s="5" t="s">
        <v>704</v>
      </c>
      <c r="C191" s="5" t="s">
        <v>726</v>
      </c>
      <c r="D191" s="271">
        <v>45419</v>
      </c>
      <c r="E191" s="5" t="s">
        <v>910</v>
      </c>
      <c r="F191" s="265" t="s">
        <v>871</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293</v>
      </c>
    </row>
    <row r="192" spans="2:42" x14ac:dyDescent="0.25">
      <c r="B192" s="5" t="s">
        <v>704</v>
      </c>
      <c r="C192" s="5" t="s">
        <v>724</v>
      </c>
      <c r="D192" s="271">
        <v>45419</v>
      </c>
      <c r="E192" s="5" t="s">
        <v>910</v>
      </c>
      <c r="F192" s="265" t="s">
        <v>871</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293</v>
      </c>
    </row>
    <row r="193" spans="2:42" x14ac:dyDescent="0.25">
      <c r="B193" s="5" t="s">
        <v>704</v>
      </c>
      <c r="C193" s="5" t="s">
        <v>722</v>
      </c>
      <c r="D193" s="271">
        <v>45419</v>
      </c>
      <c r="E193" s="5" t="s">
        <v>910</v>
      </c>
      <c r="F193" s="265" t="s">
        <v>871</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704</v>
      </c>
      <c r="C194" s="5" t="s">
        <v>719</v>
      </c>
      <c r="D194" s="271">
        <v>45419</v>
      </c>
      <c r="E194" s="5" t="s">
        <v>910</v>
      </c>
      <c r="F194" s="265" t="s">
        <v>871</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728</v>
      </c>
      <c r="C195" s="5" t="s">
        <v>1741</v>
      </c>
      <c r="D195" s="271">
        <v>46003</v>
      </c>
      <c r="E195" s="5" t="s">
        <v>1740</v>
      </c>
      <c r="F195" s="265">
        <v>0.05</v>
      </c>
      <c r="G195" s="5">
        <v>30</v>
      </c>
      <c r="H195" s="265"/>
      <c r="I195" s="265"/>
      <c r="J195" s="265"/>
      <c r="K195" s="265">
        <v>3</v>
      </c>
      <c r="L195" s="265">
        <v>3</v>
      </c>
      <c r="M195" s="265"/>
      <c r="O195" s="265"/>
      <c r="P195" s="265">
        <v>7</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729</v>
      </c>
    </row>
    <row r="196" spans="2:42" x14ac:dyDescent="0.25">
      <c r="B196" s="5" t="s">
        <v>728</v>
      </c>
      <c r="C196" s="5" t="s">
        <v>1742</v>
      </c>
      <c r="D196" s="271">
        <v>46003</v>
      </c>
      <c r="E196" s="5" t="s">
        <v>1740</v>
      </c>
      <c r="F196" s="265">
        <v>0.05</v>
      </c>
      <c r="G196" s="5">
        <v>30</v>
      </c>
      <c r="H196" s="265"/>
      <c r="I196" s="265"/>
      <c r="J196" s="265"/>
      <c r="K196" s="265">
        <v>3</v>
      </c>
      <c r="L196" s="265">
        <v>3</v>
      </c>
      <c r="M196" s="265"/>
      <c r="O196" s="265"/>
      <c r="P196" s="265">
        <v>7</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729</v>
      </c>
    </row>
    <row r="197" spans="2:42" x14ac:dyDescent="0.25">
      <c r="B197" s="5" t="s">
        <v>728</v>
      </c>
      <c r="C197" s="5" t="s">
        <v>1743</v>
      </c>
      <c r="D197" s="271">
        <v>46002</v>
      </c>
      <c r="E197" s="5" t="s">
        <v>1744</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729</v>
      </c>
    </row>
    <row r="198" spans="2:42" x14ac:dyDescent="0.25">
      <c r="B198" s="5" t="s">
        <v>728</v>
      </c>
      <c r="C198" s="5" t="s">
        <v>1745</v>
      </c>
      <c r="D198" s="271">
        <v>46002</v>
      </c>
      <c r="E198" s="5" t="s">
        <v>1744</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729</v>
      </c>
    </row>
    <row r="199" spans="2:42" x14ac:dyDescent="0.25">
      <c r="B199" s="5" t="s">
        <v>728</v>
      </c>
      <c r="C199" s="5" t="s">
        <v>1746</v>
      </c>
      <c r="D199" s="271">
        <v>45996</v>
      </c>
      <c r="E199" s="5" t="s">
        <v>1744</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729</v>
      </c>
    </row>
    <row r="200" spans="2:42" x14ac:dyDescent="0.25">
      <c r="B200" s="5" t="s">
        <v>728</v>
      </c>
      <c r="C200" s="5" t="s">
        <v>1747</v>
      </c>
      <c r="D200" s="271">
        <v>45996</v>
      </c>
      <c r="E200" s="5" t="s">
        <v>1744</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729</v>
      </c>
    </row>
    <row r="201" spans="2:42" x14ac:dyDescent="0.25">
      <c r="B201" s="5" t="s">
        <v>730</v>
      </c>
      <c r="C201" s="5" t="s">
        <v>734</v>
      </c>
      <c r="D201" s="271">
        <v>45607</v>
      </c>
      <c r="E201" s="5" t="s">
        <v>911</v>
      </c>
      <c r="F201" s="265">
        <v>0.05</v>
      </c>
      <c r="G201" s="5">
        <v>25</v>
      </c>
      <c r="H201" s="265"/>
      <c r="I201" s="265"/>
      <c r="J201" s="265"/>
      <c r="K201" s="265"/>
      <c r="L201" s="265"/>
      <c r="M201" s="265"/>
      <c r="O201" s="265"/>
      <c r="P201" s="265"/>
      <c r="Q201" s="265"/>
      <c r="R201" s="265"/>
      <c r="S201" s="265"/>
      <c r="T201" s="265"/>
      <c r="U201" s="265"/>
      <c r="V201" s="265"/>
      <c r="W201" s="265"/>
      <c r="X201" s="265"/>
      <c r="Y201" s="265"/>
      <c r="Z201" s="5">
        <v>10</v>
      </c>
      <c r="AA201" s="265">
        <v>35</v>
      </c>
      <c r="AB201" s="265"/>
      <c r="AC201" s="5">
        <v>35</v>
      </c>
      <c r="AD201" s="265"/>
      <c r="AE201" s="265"/>
      <c r="AF201" s="265"/>
      <c r="AG201" s="265"/>
      <c r="AH201" s="265"/>
      <c r="AI201" s="265"/>
      <c r="AJ201" s="265"/>
      <c r="AK201" s="265"/>
      <c r="AL201" s="265"/>
      <c r="AM201" s="265"/>
      <c r="AP201" s="137" t="s">
        <v>729</v>
      </c>
    </row>
    <row r="202" spans="2:42" x14ac:dyDescent="0.25">
      <c r="B202" s="5" t="s">
        <v>751</v>
      </c>
      <c r="C202" s="5" t="s">
        <v>781</v>
      </c>
      <c r="D202" s="271">
        <v>45612</v>
      </c>
      <c r="E202" s="5" t="s">
        <v>912</v>
      </c>
      <c r="F202" s="265" t="s">
        <v>871</v>
      </c>
      <c r="G202" s="5">
        <v>30</v>
      </c>
      <c r="H202" s="265"/>
      <c r="I202" s="265"/>
      <c r="J202" s="265"/>
      <c r="K202" s="265"/>
      <c r="L202" s="265"/>
      <c r="M202" s="265"/>
      <c r="O202" s="265">
        <v>4.95</v>
      </c>
      <c r="P202" s="265">
        <v>3.95</v>
      </c>
      <c r="Q202" s="265"/>
      <c r="R202" s="265"/>
      <c r="S202" s="265">
        <v>2</v>
      </c>
      <c r="T202" s="265">
        <v>2</v>
      </c>
      <c r="U202" s="265"/>
      <c r="V202" s="265"/>
      <c r="W202" s="265"/>
      <c r="X202" s="265"/>
      <c r="Y202" s="265"/>
      <c r="Z202" s="5">
        <v>20</v>
      </c>
      <c r="AA202" s="265">
        <v>20</v>
      </c>
      <c r="AB202" s="265"/>
      <c r="AC202" s="5">
        <v>30</v>
      </c>
      <c r="AD202" s="265"/>
      <c r="AE202" s="265"/>
      <c r="AF202" s="265"/>
      <c r="AG202" s="265"/>
      <c r="AH202" s="265"/>
      <c r="AI202" s="265"/>
      <c r="AJ202" s="265"/>
      <c r="AK202" s="265"/>
      <c r="AL202" s="265"/>
      <c r="AM202" s="265"/>
      <c r="AP202" s="137" t="s">
        <v>729</v>
      </c>
    </row>
    <row r="203" spans="2:42" x14ac:dyDescent="0.25">
      <c r="B203" s="5" t="s">
        <v>751</v>
      </c>
      <c r="C203" s="5" t="s">
        <v>784</v>
      </c>
      <c r="D203" s="271">
        <v>45612</v>
      </c>
      <c r="E203" s="5" t="s">
        <v>912</v>
      </c>
      <c r="F203" s="265" t="s">
        <v>871</v>
      </c>
      <c r="G203" s="5">
        <v>30</v>
      </c>
      <c r="H203" s="265"/>
      <c r="I203" s="265"/>
      <c r="J203" s="265"/>
      <c r="K203" s="265"/>
      <c r="L203" s="265"/>
      <c r="M203" s="265"/>
      <c r="O203" s="265">
        <v>4.95</v>
      </c>
      <c r="P203" s="265">
        <v>3.95</v>
      </c>
      <c r="Q203" s="265"/>
      <c r="R203" s="265"/>
      <c r="S203" s="265">
        <v>2</v>
      </c>
      <c r="T203" s="265">
        <v>2</v>
      </c>
      <c r="U203" s="265"/>
      <c r="V203" s="265"/>
      <c r="W203" s="265"/>
      <c r="X203" s="265"/>
      <c r="Y203" s="265"/>
      <c r="Z203" s="5">
        <v>20</v>
      </c>
      <c r="AA203" s="265">
        <v>20</v>
      </c>
      <c r="AB203" s="265"/>
      <c r="AC203" s="5">
        <v>30</v>
      </c>
      <c r="AD203" s="265"/>
      <c r="AE203" s="265"/>
      <c r="AF203" s="265"/>
      <c r="AG203" s="265"/>
      <c r="AH203" s="265"/>
      <c r="AI203" s="265"/>
      <c r="AJ203" s="265"/>
      <c r="AK203" s="265"/>
      <c r="AL203" s="265"/>
      <c r="AM203" s="265"/>
      <c r="AP203" s="137" t="s">
        <v>729</v>
      </c>
    </row>
    <row r="204" spans="2:42" x14ac:dyDescent="0.25">
      <c r="B204" s="5" t="s">
        <v>751</v>
      </c>
      <c r="C204" s="5" t="s">
        <v>777</v>
      </c>
      <c r="D204" s="271">
        <v>45579</v>
      </c>
      <c r="E204" s="5" t="s">
        <v>912</v>
      </c>
      <c r="F204" s="265" t="s">
        <v>871</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729</v>
      </c>
    </row>
    <row r="205" spans="2:42" x14ac:dyDescent="0.25">
      <c r="B205" s="5" t="s">
        <v>751</v>
      </c>
      <c r="C205" s="5" t="s">
        <v>770</v>
      </c>
      <c r="D205" s="271">
        <v>45579</v>
      </c>
      <c r="E205" s="5" t="s">
        <v>912</v>
      </c>
      <c r="F205" s="265" t="s">
        <v>871</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729</v>
      </c>
    </row>
    <row r="206" spans="2:42" x14ac:dyDescent="0.25">
      <c r="B206" s="5" t="s">
        <v>751</v>
      </c>
      <c r="C206" s="5" t="s">
        <v>763</v>
      </c>
      <c r="D206" s="271">
        <v>45579</v>
      </c>
      <c r="E206" s="5" t="s">
        <v>912</v>
      </c>
      <c r="F206" s="265" t="s">
        <v>871</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729</v>
      </c>
    </row>
    <row r="207" spans="2:42" x14ac:dyDescent="0.25">
      <c r="B207" s="5" t="s">
        <v>751</v>
      </c>
      <c r="C207" s="5" t="s">
        <v>774</v>
      </c>
      <c r="D207" s="271">
        <v>45579</v>
      </c>
      <c r="E207" s="5" t="s">
        <v>912</v>
      </c>
      <c r="F207" s="265" t="s">
        <v>871</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729</v>
      </c>
    </row>
    <row r="208" spans="2:42" x14ac:dyDescent="0.25">
      <c r="B208" s="5" t="s">
        <v>751</v>
      </c>
      <c r="C208" s="5" t="s">
        <v>767</v>
      </c>
      <c r="D208" s="271">
        <v>45579</v>
      </c>
      <c r="E208" s="5" t="s">
        <v>912</v>
      </c>
      <c r="F208" s="265" t="s">
        <v>871</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729</v>
      </c>
    </row>
    <row r="209" spans="2:42" x14ac:dyDescent="0.25">
      <c r="B209" s="5" t="s">
        <v>751</v>
      </c>
      <c r="C209" s="5" t="s">
        <v>757</v>
      </c>
      <c r="D209" s="271">
        <v>45579</v>
      </c>
      <c r="E209" s="5" t="s">
        <v>912</v>
      </c>
      <c r="F209" s="265" t="s">
        <v>871</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729</v>
      </c>
    </row>
    <row r="210" spans="2:42" x14ac:dyDescent="0.25">
      <c r="B210" s="5" t="s">
        <v>787</v>
      </c>
      <c r="C210" s="5" t="s">
        <v>1707</v>
      </c>
      <c r="D210" s="271">
        <v>46187</v>
      </c>
      <c r="E210" s="5" t="s">
        <v>1708</v>
      </c>
      <c r="F210" s="265" t="s">
        <v>871</v>
      </c>
      <c r="G210" s="5">
        <v>30</v>
      </c>
      <c r="H210" s="265"/>
      <c r="I210" s="265" t="s">
        <v>1709</v>
      </c>
      <c r="J210" s="265" t="s">
        <v>1709</v>
      </c>
      <c r="K210" s="265" t="s">
        <v>1709</v>
      </c>
      <c r="L210" s="265"/>
      <c r="M210" s="265" t="s">
        <v>1709</v>
      </c>
      <c r="O210" s="265"/>
      <c r="P210" s="265"/>
      <c r="Q210" s="265"/>
      <c r="R210" s="265"/>
      <c r="S210" s="265"/>
      <c r="T210" s="265"/>
      <c r="U210" s="265"/>
      <c r="V210" s="265"/>
      <c r="W210" s="265"/>
      <c r="X210" s="265"/>
      <c r="Y210" s="265"/>
      <c r="Z210" s="5">
        <v>20</v>
      </c>
      <c r="AA210" s="265">
        <v>30</v>
      </c>
      <c r="AB210" s="265"/>
      <c r="AC210" s="5">
        <v>30</v>
      </c>
      <c r="AD210" s="265"/>
      <c r="AE210" s="265"/>
      <c r="AF210" s="265"/>
      <c r="AG210" s="265"/>
      <c r="AH210" s="265"/>
      <c r="AI210" s="265"/>
      <c r="AJ210" s="265"/>
      <c r="AK210" s="265"/>
      <c r="AL210" s="265"/>
      <c r="AM210" s="265"/>
      <c r="AP210" s="137" t="s">
        <v>729</v>
      </c>
    </row>
    <row r="211" spans="2:42" x14ac:dyDescent="0.25">
      <c r="B211" s="5" t="s">
        <v>788</v>
      </c>
      <c r="C211" s="5" t="s">
        <v>789</v>
      </c>
      <c r="D211" s="271">
        <v>45208</v>
      </c>
      <c r="E211" s="5" t="s">
        <v>913</v>
      </c>
      <c r="F211" s="265" t="s">
        <v>871</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c r="AB211" s="265">
        <v>30</v>
      </c>
      <c r="AD211" s="265"/>
      <c r="AE211" s="265"/>
      <c r="AF211" s="265"/>
      <c r="AG211" s="265"/>
      <c r="AH211" s="265"/>
      <c r="AI211" s="265"/>
      <c r="AJ211" s="265"/>
      <c r="AK211" s="265"/>
      <c r="AL211" s="265"/>
      <c r="AM211" s="265"/>
      <c r="AP211" s="137" t="s">
        <v>729</v>
      </c>
    </row>
    <row r="212" spans="2:42" x14ac:dyDescent="0.25">
      <c r="B212" s="5" t="s">
        <v>792</v>
      </c>
      <c r="C212" s="5" t="s">
        <v>1695</v>
      </c>
      <c r="D212" s="271">
        <v>36892</v>
      </c>
      <c r="E212" s="5" t="s">
        <v>1696</v>
      </c>
      <c r="F212" s="265" t="s">
        <v>871</v>
      </c>
      <c r="G212" s="5">
        <v>30</v>
      </c>
      <c r="H212" s="265"/>
      <c r="I212" s="265"/>
      <c r="J212" s="265"/>
      <c r="K212" s="265"/>
      <c r="L212" s="265"/>
      <c r="M212" s="265"/>
      <c r="O212" s="265"/>
      <c r="P212" s="265"/>
      <c r="Q212" s="265"/>
      <c r="R212" s="265"/>
      <c r="S212" s="265"/>
      <c r="T212" s="265"/>
      <c r="U212" s="265"/>
      <c r="V212" s="265"/>
      <c r="W212" s="265"/>
      <c r="X212" s="265"/>
      <c r="Y212" s="265"/>
      <c r="Z212" s="5">
        <v>10</v>
      </c>
      <c r="AA212" s="265"/>
      <c r="AB212" s="265">
        <v>30</v>
      </c>
      <c r="AD212" s="265"/>
      <c r="AE212" s="265"/>
      <c r="AF212" s="265"/>
      <c r="AG212" s="265"/>
      <c r="AH212" s="265"/>
      <c r="AI212" s="265"/>
      <c r="AJ212" s="265"/>
      <c r="AK212" s="265"/>
      <c r="AL212" s="265"/>
      <c r="AM212" s="265"/>
      <c r="AP212" s="137" t="s">
        <v>729</v>
      </c>
    </row>
    <row r="213" spans="2:42" x14ac:dyDescent="0.25">
      <c r="B213" s="5" t="s">
        <v>1369</v>
      </c>
      <c r="C213" s="5" t="s">
        <v>1796</v>
      </c>
      <c r="D213" s="271">
        <v>46205</v>
      </c>
      <c r="E213" s="5" t="s">
        <v>1787</v>
      </c>
      <c r="F213" s="265" t="s">
        <v>871</v>
      </c>
      <c r="G213" s="5">
        <v>29.95</v>
      </c>
      <c r="H213" s="265"/>
      <c r="I213" s="265">
        <v>5.95</v>
      </c>
      <c r="J213" s="265"/>
      <c r="K213" s="265"/>
      <c r="L213" s="265"/>
      <c r="M213" s="265"/>
      <c r="O213" s="265">
        <v>4.95</v>
      </c>
      <c r="P213" s="265">
        <v>3.95</v>
      </c>
      <c r="Q213" s="265"/>
      <c r="R213" s="265">
        <v>19.95</v>
      </c>
      <c r="S213" s="265">
        <v>3.95</v>
      </c>
      <c r="T213" s="265"/>
      <c r="U213" s="265">
        <v>9.9499999999999993</v>
      </c>
      <c r="V213" s="265"/>
      <c r="W213" s="265">
        <v>9.9499999999999993</v>
      </c>
      <c r="X213" s="265"/>
      <c r="Y213" s="265"/>
      <c r="Z213" s="5">
        <v>19.95</v>
      </c>
      <c r="AA213" s="265"/>
      <c r="AB213" s="265">
        <v>29.95</v>
      </c>
      <c r="AC213" s="5">
        <v>29.95</v>
      </c>
      <c r="AD213" s="265"/>
      <c r="AE213" s="265"/>
      <c r="AF213" s="265">
        <v>24.95</v>
      </c>
      <c r="AG213" s="265"/>
      <c r="AH213" s="265"/>
      <c r="AI213" s="265"/>
      <c r="AJ213" s="265">
        <v>9.9499999999999993</v>
      </c>
      <c r="AK213" s="265"/>
      <c r="AL213" s="265"/>
      <c r="AM213" s="265" t="s">
        <v>1788</v>
      </c>
      <c r="AP213" s="137" t="s">
        <v>729</v>
      </c>
    </row>
    <row r="214" spans="2:42" x14ac:dyDescent="0.25">
      <c r="B214" s="5" t="s">
        <v>1369</v>
      </c>
      <c r="C214" s="5" t="s">
        <v>1795</v>
      </c>
      <c r="D214" s="271">
        <v>46205</v>
      </c>
      <c r="E214" s="5" t="s">
        <v>1787</v>
      </c>
      <c r="F214" s="265" t="s">
        <v>871</v>
      </c>
      <c r="G214" s="5">
        <v>29.95</v>
      </c>
      <c r="H214" s="265"/>
      <c r="I214" s="265">
        <v>5.95</v>
      </c>
      <c r="J214" s="265"/>
      <c r="K214" s="265"/>
      <c r="L214" s="265"/>
      <c r="M214" s="265"/>
      <c r="O214" s="265">
        <v>4.95</v>
      </c>
      <c r="P214" s="265">
        <v>3.95</v>
      </c>
      <c r="Q214" s="265"/>
      <c r="R214" s="265">
        <v>19.95</v>
      </c>
      <c r="S214" s="265">
        <v>3.95</v>
      </c>
      <c r="T214" s="265"/>
      <c r="U214" s="265">
        <v>9.9499999999999993</v>
      </c>
      <c r="V214" s="265"/>
      <c r="W214" s="265">
        <v>9.9499999999999993</v>
      </c>
      <c r="X214" s="265"/>
      <c r="Y214" s="265"/>
      <c r="Z214" s="5">
        <v>19.95</v>
      </c>
      <c r="AA214" s="265"/>
      <c r="AB214" s="265">
        <v>29.95</v>
      </c>
      <c r="AC214" s="5">
        <v>29.95</v>
      </c>
      <c r="AD214" s="265"/>
      <c r="AE214" s="265"/>
      <c r="AF214" s="265">
        <v>24.95</v>
      </c>
      <c r="AG214" s="265"/>
      <c r="AH214" s="265"/>
      <c r="AI214" s="265"/>
      <c r="AJ214" s="265">
        <v>9.9499999999999993</v>
      </c>
      <c r="AK214" s="265"/>
      <c r="AL214" s="265"/>
      <c r="AM214" s="265" t="s">
        <v>1788</v>
      </c>
      <c r="AP214" s="137" t="s">
        <v>729</v>
      </c>
    </row>
    <row r="216" spans="2:42" x14ac:dyDescent="0.25">
      <c r="B216" s="5" t="s">
        <v>914</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915</v>
      </c>
    </row>
    <row r="2" spans="1:4" x14ac:dyDescent="0.25">
      <c r="A2" s="34" t="s">
        <v>227</v>
      </c>
    </row>
    <row r="4" spans="1:4" x14ac:dyDescent="0.25">
      <c r="A4" s="16" t="s">
        <v>916</v>
      </c>
    </row>
    <row r="5" spans="1:4" x14ac:dyDescent="0.25">
      <c r="A5" t="s">
        <v>917</v>
      </c>
    </row>
    <row r="7" spans="1:4" s="1" customFormat="1" ht="15.75" thickBot="1" x14ac:dyDescent="0.3">
      <c r="B7" s="1" t="s">
        <v>918</v>
      </c>
      <c r="C7" s="1" t="s">
        <v>919</v>
      </c>
      <c r="D7" s="1" t="s">
        <v>920</v>
      </c>
    </row>
    <row r="8" spans="1:4" x14ac:dyDescent="0.25">
      <c r="B8" s="314" t="s">
        <v>10</v>
      </c>
      <c r="C8" s="17" t="s">
        <v>921</v>
      </c>
      <c r="D8" s="317" t="s">
        <v>922</v>
      </c>
    </row>
    <row r="9" spans="1:4" x14ac:dyDescent="0.25">
      <c r="B9" s="316"/>
      <c r="C9" s="18" t="s">
        <v>923</v>
      </c>
      <c r="D9" s="318"/>
    </row>
    <row r="10" spans="1:4" x14ac:dyDescent="0.25">
      <c r="B10" s="316"/>
      <c r="C10" s="19" t="s">
        <v>235</v>
      </c>
      <c r="D10" s="318"/>
    </row>
    <row r="11" spans="1:4" x14ac:dyDescent="0.25">
      <c r="B11" s="316"/>
      <c r="C11" s="19" t="s">
        <v>237</v>
      </c>
      <c r="D11" s="318"/>
    </row>
    <row r="12" spans="1:4" ht="15.75" thickBot="1" x14ac:dyDescent="0.3">
      <c r="B12" s="315"/>
      <c r="C12" s="20" t="s">
        <v>924</v>
      </c>
      <c r="D12" s="319"/>
    </row>
    <row r="13" spans="1:4" x14ac:dyDescent="0.25">
      <c r="B13" s="314" t="s">
        <v>925</v>
      </c>
      <c r="C13" s="21" t="s">
        <v>926</v>
      </c>
      <c r="D13" s="317" t="s">
        <v>927</v>
      </c>
    </row>
    <row r="14" spans="1:4" x14ac:dyDescent="0.25">
      <c r="B14" s="316"/>
      <c r="C14" s="19" t="s">
        <v>928</v>
      </c>
      <c r="D14" s="318"/>
    </row>
    <row r="15" spans="1:4" ht="15.75" thickBot="1" x14ac:dyDescent="0.3">
      <c r="B15" s="315"/>
      <c r="C15" s="22" t="s">
        <v>929</v>
      </c>
      <c r="D15" s="319"/>
    </row>
    <row r="16" spans="1:4" x14ac:dyDescent="0.25">
      <c r="B16" s="314" t="s">
        <v>930</v>
      </c>
      <c r="C16" s="21" t="s">
        <v>931</v>
      </c>
      <c r="D16" s="317" t="s">
        <v>932</v>
      </c>
    </row>
    <row r="17" spans="2:4" ht="15.75" thickBot="1" x14ac:dyDescent="0.3">
      <c r="B17" s="315"/>
      <c r="C17" s="20" t="s">
        <v>933</v>
      </c>
      <c r="D17" s="319"/>
    </row>
    <row r="18" spans="2:4" x14ac:dyDescent="0.25">
      <c r="B18" s="314" t="s">
        <v>934</v>
      </c>
      <c r="C18" s="17" t="s">
        <v>935</v>
      </c>
      <c r="D18" s="280" t="s">
        <v>936</v>
      </c>
    </row>
    <row r="19" spans="2:4" ht="45" x14ac:dyDescent="0.25">
      <c r="B19" s="320"/>
      <c r="C19" s="19" t="s">
        <v>937</v>
      </c>
      <c r="D19" s="67" t="s">
        <v>938</v>
      </c>
    </row>
    <row r="20" spans="2:4" ht="60" x14ac:dyDescent="0.25">
      <c r="B20" s="316"/>
      <c r="C20" s="19" t="s">
        <v>939</v>
      </c>
      <c r="D20" s="40" t="s">
        <v>940</v>
      </c>
    </row>
    <row r="21" spans="2:4" ht="30.75" thickBot="1" x14ac:dyDescent="0.3">
      <c r="B21" s="315"/>
      <c r="C21" s="22" t="s">
        <v>941</v>
      </c>
      <c r="D21" s="282" t="s">
        <v>942</v>
      </c>
    </row>
    <row r="22" spans="2:4" x14ac:dyDescent="0.25">
      <c r="B22" s="314" t="s">
        <v>943</v>
      </c>
      <c r="C22" s="21" t="s">
        <v>944</v>
      </c>
      <c r="D22" s="280"/>
    </row>
    <row r="23" spans="2:4" ht="15.75" thickBot="1" x14ac:dyDescent="0.3">
      <c r="B23" s="315"/>
      <c r="C23" s="22" t="s">
        <v>945</v>
      </c>
      <c r="D23" s="282"/>
    </row>
    <row r="24" spans="2:4" x14ac:dyDescent="0.25">
      <c r="B24" s="314" t="s">
        <v>946</v>
      </c>
      <c r="C24" s="21" t="s">
        <v>228</v>
      </c>
      <c r="D24" s="280" t="s">
        <v>947</v>
      </c>
    </row>
    <row r="25" spans="2:4" x14ac:dyDescent="0.25">
      <c r="B25" s="316"/>
      <c r="C25" s="18" t="s">
        <v>238</v>
      </c>
      <c r="D25" s="281" t="s">
        <v>948</v>
      </c>
    </row>
    <row r="26" spans="2:4" ht="15.75" thickBot="1" x14ac:dyDescent="0.3">
      <c r="B26" s="315"/>
      <c r="C26" s="22" t="s">
        <v>236</v>
      </c>
      <c r="D26" s="69" t="s">
        <v>949</v>
      </c>
    </row>
    <row r="27" spans="2:4" x14ac:dyDescent="0.25">
      <c r="B27" s="314" t="s">
        <v>950</v>
      </c>
      <c r="C27" s="17" t="s">
        <v>951</v>
      </c>
      <c r="D27" s="281" t="s">
        <v>948</v>
      </c>
    </row>
    <row r="28" spans="2:4" ht="15.75" thickBot="1" x14ac:dyDescent="0.3">
      <c r="B28" s="315"/>
      <c r="C28" s="22" t="s">
        <v>952</v>
      </c>
      <c r="D28" s="282"/>
    </row>
    <row r="29" spans="2:4" ht="15.75" thickBot="1" x14ac:dyDescent="0.3">
      <c r="B29" s="314" t="s">
        <v>953</v>
      </c>
      <c r="C29" s="21" t="s">
        <v>951</v>
      </c>
      <c r="D29" s="69" t="s">
        <v>949</v>
      </c>
    </row>
    <row r="30" spans="2:4" ht="15.75" thickBot="1" x14ac:dyDescent="0.3">
      <c r="B30" s="315"/>
      <c r="C30" s="22" t="s">
        <v>952</v>
      </c>
      <c r="D30" s="282"/>
    </row>
    <row r="31" spans="2:4" x14ac:dyDescent="0.25">
      <c r="B31" s="314" t="s">
        <v>954</v>
      </c>
      <c r="C31" s="21" t="s">
        <v>955</v>
      </c>
      <c r="D31" s="280"/>
    </row>
    <row r="32" spans="2:4" x14ac:dyDescent="0.25">
      <c r="B32" s="316"/>
      <c r="C32" s="19" t="s">
        <v>956</v>
      </c>
      <c r="D32" s="281"/>
    </row>
    <row r="33" spans="2:4" x14ac:dyDescent="0.25">
      <c r="B33" s="316"/>
      <c r="C33" s="19" t="s">
        <v>957</v>
      </c>
      <c r="D33" s="281"/>
    </row>
    <row r="34" spans="2:4" x14ac:dyDescent="0.25">
      <c r="B34" s="316"/>
      <c r="C34" s="19" t="s">
        <v>958</v>
      </c>
      <c r="D34" s="281"/>
    </row>
    <row r="35" spans="2:4" ht="15.75" thickBot="1" x14ac:dyDescent="0.3">
      <c r="B35" s="315"/>
      <c r="C35" s="22" t="s">
        <v>959</v>
      </c>
      <c r="D35" s="282"/>
    </row>
    <row r="36" spans="2:4" ht="30.75" thickBot="1" x14ac:dyDescent="0.3">
      <c r="B36" s="23" t="s">
        <v>960</v>
      </c>
      <c r="C36" s="24" t="s">
        <v>961</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962</v>
      </c>
    </row>
    <row r="2" spans="1:3" x14ac:dyDescent="0.25">
      <c r="A2" s="34" t="s">
        <v>227</v>
      </c>
    </row>
    <row r="4" spans="1:3" x14ac:dyDescent="0.25">
      <c r="B4" s="1" t="s">
        <v>963</v>
      </c>
      <c r="C4" s="1" t="s">
        <v>964</v>
      </c>
    </row>
    <row r="5" spans="1:3" x14ac:dyDescent="0.25">
      <c r="B5" t="s">
        <v>105</v>
      </c>
      <c r="C5" t="str">
        <f t="shared" ref="C5:C55" si="0">IF(Locked,"[Any]",$B5)</f>
        <v>[Any]</v>
      </c>
    </row>
    <row r="6" spans="1:3" x14ac:dyDescent="0.25">
      <c r="B6" t="s">
        <v>965</v>
      </c>
      <c r="C6" t="str">
        <f t="shared" si="0"/>
        <v>[Any]</v>
      </c>
    </row>
    <row r="7" spans="1:3" x14ac:dyDescent="0.25">
      <c r="B7" t="s">
        <v>966</v>
      </c>
      <c r="C7" t="str">
        <f t="shared" si="0"/>
        <v>[Any]</v>
      </c>
    </row>
    <row r="8" spans="1:3" x14ac:dyDescent="0.25">
      <c r="B8" t="s">
        <v>967</v>
      </c>
      <c r="C8" t="str">
        <f t="shared" si="0"/>
        <v>[Any]</v>
      </c>
    </row>
    <row r="9" spans="1:3" x14ac:dyDescent="0.25">
      <c r="B9" t="s">
        <v>968</v>
      </c>
      <c r="C9" t="str">
        <f t="shared" si="0"/>
        <v>[Any]</v>
      </c>
    </row>
    <row r="10" spans="1:3" x14ac:dyDescent="0.25">
      <c r="B10" t="s">
        <v>969</v>
      </c>
      <c r="C10" t="str">
        <f t="shared" si="0"/>
        <v>[Any]</v>
      </c>
    </row>
    <row r="11" spans="1:3" x14ac:dyDescent="0.25">
      <c r="B11" t="s">
        <v>375</v>
      </c>
      <c r="C11" t="str">
        <f t="shared" si="0"/>
        <v>[Any]</v>
      </c>
    </row>
    <row r="12" spans="1:3" x14ac:dyDescent="0.25">
      <c r="B12" t="s">
        <v>386</v>
      </c>
      <c r="C12" t="str">
        <f t="shared" si="0"/>
        <v>[Any]</v>
      </c>
    </row>
    <row r="13" spans="1:3" x14ac:dyDescent="0.25">
      <c r="B13" t="s">
        <v>970</v>
      </c>
      <c r="C13" t="str">
        <f t="shared" si="0"/>
        <v>[Any]</v>
      </c>
    </row>
    <row r="14" spans="1:3" x14ac:dyDescent="0.25">
      <c r="B14" t="s">
        <v>409</v>
      </c>
      <c r="C14" t="str">
        <f t="shared" si="0"/>
        <v>[Any]</v>
      </c>
    </row>
    <row r="15" spans="1:3" x14ac:dyDescent="0.25">
      <c r="B15" t="s">
        <v>971</v>
      </c>
      <c r="C15" t="str">
        <f t="shared" si="0"/>
        <v>[Any]</v>
      </c>
    </row>
    <row r="16" spans="1:3" x14ac:dyDescent="0.25">
      <c r="B16" t="s">
        <v>972</v>
      </c>
      <c r="C16" t="str">
        <f t="shared" si="0"/>
        <v>[Any]</v>
      </c>
    </row>
    <row r="17" spans="2:3" x14ac:dyDescent="0.25">
      <c r="B17" t="s">
        <v>973</v>
      </c>
      <c r="C17" t="str">
        <f t="shared" si="0"/>
        <v>[Any]</v>
      </c>
    </row>
    <row r="18" spans="2:3" x14ac:dyDescent="0.25">
      <c r="B18" t="s">
        <v>469</v>
      </c>
      <c r="C18" t="str">
        <f t="shared" si="0"/>
        <v>[Any]</v>
      </c>
    </row>
    <row r="19" spans="2:3" x14ac:dyDescent="0.25">
      <c r="B19" t="s">
        <v>476</v>
      </c>
      <c r="C19" t="str">
        <f t="shared" si="0"/>
        <v>[Any]</v>
      </c>
    </row>
    <row r="20" spans="2:3" x14ac:dyDescent="0.25">
      <c r="B20" t="s">
        <v>974</v>
      </c>
      <c r="C20" t="str">
        <f t="shared" si="0"/>
        <v>[Any]</v>
      </c>
    </row>
    <row r="21" spans="2:3" x14ac:dyDescent="0.25">
      <c r="B21" t="s">
        <v>975</v>
      </c>
      <c r="C21" t="str">
        <f t="shared" si="0"/>
        <v>[Any]</v>
      </c>
    </row>
    <row r="22" spans="2:3" x14ac:dyDescent="0.25">
      <c r="B22" t="s">
        <v>499</v>
      </c>
      <c r="C22" t="str">
        <f t="shared" si="0"/>
        <v>[Any]</v>
      </c>
    </row>
    <row r="23" spans="2:3" x14ac:dyDescent="0.25">
      <c r="B23" t="s">
        <v>505</v>
      </c>
      <c r="C23" t="str">
        <f t="shared" si="0"/>
        <v>[Any]</v>
      </c>
    </row>
    <row r="24" spans="2:3" x14ac:dyDescent="0.25">
      <c r="B24" t="s">
        <v>505</v>
      </c>
      <c r="C24" t="str">
        <f t="shared" si="0"/>
        <v>[Any]</v>
      </c>
    </row>
    <row r="25" spans="2:3" x14ac:dyDescent="0.25">
      <c r="B25" t="s">
        <v>976</v>
      </c>
      <c r="C25" t="str">
        <f t="shared" si="0"/>
        <v>[Any]</v>
      </c>
    </row>
    <row r="26" spans="2:3" x14ac:dyDescent="0.25">
      <c r="B26" t="s">
        <v>977</v>
      </c>
      <c r="C26" t="str">
        <f t="shared" si="0"/>
        <v>[Any]</v>
      </c>
    </row>
    <row r="27" spans="2:3" x14ac:dyDescent="0.25">
      <c r="B27" t="s">
        <v>978</v>
      </c>
      <c r="C27" t="str">
        <f t="shared" si="0"/>
        <v>[Any]</v>
      </c>
    </row>
    <row r="28" spans="2:3" x14ac:dyDescent="0.25">
      <c r="B28" t="s">
        <v>979</v>
      </c>
      <c r="C28" t="str">
        <f t="shared" si="0"/>
        <v>[Any]</v>
      </c>
    </row>
    <row r="29" spans="2:3" x14ac:dyDescent="0.25">
      <c r="B29" t="s">
        <v>980</v>
      </c>
      <c r="C29" t="str">
        <f t="shared" si="0"/>
        <v>[Any]</v>
      </c>
    </row>
    <row r="30" spans="2:3" x14ac:dyDescent="0.25">
      <c r="B30" t="s">
        <v>981</v>
      </c>
      <c r="C30" t="str">
        <f t="shared" si="0"/>
        <v>[Any]</v>
      </c>
    </row>
    <row r="31" spans="2:3" x14ac:dyDescent="0.25">
      <c r="B31" t="s">
        <v>982</v>
      </c>
      <c r="C31" t="str">
        <f t="shared" si="0"/>
        <v>[Any]</v>
      </c>
    </row>
    <row r="32" spans="2:3" x14ac:dyDescent="0.25">
      <c r="B32" t="s">
        <v>983</v>
      </c>
      <c r="C32" t="str">
        <f t="shared" si="0"/>
        <v>[Any]</v>
      </c>
    </row>
    <row r="33" spans="2:3" x14ac:dyDescent="0.25">
      <c r="B33" t="s">
        <v>984</v>
      </c>
      <c r="C33" t="str">
        <f t="shared" si="0"/>
        <v>[Any]</v>
      </c>
    </row>
    <row r="34" spans="2:3" x14ac:dyDescent="0.25">
      <c r="B34" t="s">
        <v>985</v>
      </c>
      <c r="C34" t="str">
        <f t="shared" si="0"/>
        <v>[Any]</v>
      </c>
    </row>
    <row r="35" spans="2:3" x14ac:dyDescent="0.25">
      <c r="B35" t="s">
        <v>986</v>
      </c>
      <c r="C35" t="str">
        <f t="shared" si="0"/>
        <v>[Any]</v>
      </c>
    </row>
    <row r="36" spans="2:3" x14ac:dyDescent="0.25">
      <c r="B36" t="s">
        <v>987</v>
      </c>
      <c r="C36" t="str">
        <f t="shared" si="0"/>
        <v>[Any]</v>
      </c>
    </row>
    <row r="37" spans="2:3" x14ac:dyDescent="0.25">
      <c r="B37" t="s">
        <v>601</v>
      </c>
      <c r="C37" t="str">
        <f t="shared" si="0"/>
        <v>[Any]</v>
      </c>
    </row>
    <row r="38" spans="2:3" x14ac:dyDescent="0.25">
      <c r="B38" t="s">
        <v>601</v>
      </c>
      <c r="C38" t="str">
        <f t="shared" si="0"/>
        <v>[Any]</v>
      </c>
    </row>
    <row r="39" spans="2:3" x14ac:dyDescent="0.25">
      <c r="B39" t="s">
        <v>988</v>
      </c>
      <c r="C39" t="str">
        <f t="shared" si="0"/>
        <v>[Any]</v>
      </c>
    </row>
    <row r="40" spans="2:3" x14ac:dyDescent="0.25">
      <c r="B40" t="s">
        <v>989</v>
      </c>
      <c r="C40" t="str">
        <f t="shared" si="0"/>
        <v>[Any]</v>
      </c>
    </row>
    <row r="41" spans="2:3" x14ac:dyDescent="0.25">
      <c r="B41" t="s">
        <v>632</v>
      </c>
      <c r="C41" t="str">
        <f t="shared" si="0"/>
        <v>[Any]</v>
      </c>
    </row>
    <row r="42" spans="2:3" x14ac:dyDescent="0.25">
      <c r="B42" t="s">
        <v>990</v>
      </c>
      <c r="C42" t="str">
        <f t="shared" si="0"/>
        <v>[Any]</v>
      </c>
    </row>
    <row r="43" spans="2:3" x14ac:dyDescent="0.25">
      <c r="B43" t="s">
        <v>991</v>
      </c>
      <c r="C43" t="str">
        <f t="shared" si="0"/>
        <v>[Any]</v>
      </c>
    </row>
    <row r="44" spans="2:3" x14ac:dyDescent="0.25">
      <c r="B44" t="s">
        <v>992</v>
      </c>
      <c r="C44" t="str">
        <f t="shared" si="0"/>
        <v>[Any]</v>
      </c>
    </row>
    <row r="45" spans="2:3" x14ac:dyDescent="0.25">
      <c r="B45" t="s">
        <v>993</v>
      </c>
      <c r="C45" t="str">
        <f t="shared" si="0"/>
        <v>[Any]</v>
      </c>
    </row>
    <row r="46" spans="2:3" x14ac:dyDescent="0.25">
      <c r="B46" t="s">
        <v>994</v>
      </c>
      <c r="C46" t="str">
        <f t="shared" si="0"/>
        <v>[Any]</v>
      </c>
    </row>
    <row r="47" spans="2:3" x14ac:dyDescent="0.25">
      <c r="B47" t="s">
        <v>995</v>
      </c>
      <c r="C47" t="str">
        <f t="shared" si="0"/>
        <v>[Any]</v>
      </c>
    </row>
    <row r="48" spans="2:3" x14ac:dyDescent="0.25">
      <c r="B48" t="s">
        <v>996</v>
      </c>
      <c r="C48" t="str">
        <f t="shared" si="0"/>
        <v>[Any]</v>
      </c>
    </row>
    <row r="49" spans="2:3" x14ac:dyDescent="0.25">
      <c r="B49" t="s">
        <v>728</v>
      </c>
      <c r="C49" t="str">
        <f t="shared" si="0"/>
        <v>[Any]</v>
      </c>
    </row>
    <row r="50" spans="2:3" x14ac:dyDescent="0.25">
      <c r="B50" t="s">
        <v>730</v>
      </c>
      <c r="C50" t="str">
        <f t="shared" si="0"/>
        <v>[Any]</v>
      </c>
    </row>
    <row r="51" spans="2:3" x14ac:dyDescent="0.25">
      <c r="B51" t="s">
        <v>730</v>
      </c>
      <c r="C51" t="str">
        <f t="shared" si="0"/>
        <v>[Any]</v>
      </c>
    </row>
    <row r="52" spans="2:3" x14ac:dyDescent="0.25">
      <c r="B52" t="s">
        <v>997</v>
      </c>
      <c r="C52" t="str">
        <f t="shared" si="0"/>
        <v>[Any]</v>
      </c>
    </row>
    <row r="53" spans="2:3" x14ac:dyDescent="0.25">
      <c r="B53" t="s">
        <v>998</v>
      </c>
      <c r="C53" t="str">
        <f t="shared" si="0"/>
        <v>[Any]</v>
      </c>
    </row>
    <row r="54" spans="2:3" x14ac:dyDescent="0.25">
      <c r="B54" t="s">
        <v>999</v>
      </c>
      <c r="C54" t="str">
        <f t="shared" si="0"/>
        <v>[Any]</v>
      </c>
    </row>
    <row r="55" spans="2:3" x14ac:dyDescent="0.25">
      <c r="B55" t="s">
        <v>1000</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1001</v>
      </c>
      <c r="I1" s="1" t="s">
        <v>1002</v>
      </c>
    </row>
    <row r="2" spans="1:11" x14ac:dyDescent="0.25">
      <c r="A2" s="34" t="s">
        <v>227</v>
      </c>
    </row>
    <row r="3" spans="1:11" x14ac:dyDescent="0.25">
      <c r="G3" s="232" t="s">
        <v>1003</v>
      </c>
      <c r="H3" s="233" t="s">
        <v>1004</v>
      </c>
      <c r="I3" s="231" t="s">
        <v>1005</v>
      </c>
    </row>
    <row r="4" spans="1:11" hidden="1" x14ac:dyDescent="0.25"/>
    <row r="5" spans="1:11" s="2" customFormat="1" ht="45" x14ac:dyDescent="0.25">
      <c r="B5" s="2" t="s">
        <v>1006</v>
      </c>
      <c r="C5" s="2" t="s">
        <v>1007</v>
      </c>
      <c r="D5" s="76" t="s">
        <v>1008</v>
      </c>
      <c r="E5" s="2" t="s">
        <v>1009</v>
      </c>
      <c r="F5" s="2" t="s">
        <v>1010</v>
      </c>
      <c r="G5" s="77" t="s">
        <v>1011</v>
      </c>
      <c r="H5" s="2" t="s">
        <v>1012</v>
      </c>
      <c r="I5" s="63" t="s">
        <v>1013</v>
      </c>
      <c r="J5" s="2" t="s">
        <v>1014</v>
      </c>
      <c r="K5" s="2" t="s">
        <v>1015</v>
      </c>
    </row>
    <row r="6" spans="1:11" x14ac:dyDescent="0.25">
      <c r="B6" t="s">
        <v>208</v>
      </c>
      <c r="C6" t="s">
        <v>1016</v>
      </c>
      <c r="D6" t="s">
        <v>1016</v>
      </c>
      <c r="E6" t="s">
        <v>208</v>
      </c>
      <c r="F6" t="s">
        <v>208</v>
      </c>
      <c r="G6" s="75">
        <v>37324</v>
      </c>
      <c r="H6">
        <v>3.9169999999999998</v>
      </c>
      <c r="I6" s="6">
        <v>1</v>
      </c>
      <c r="J6" s="78"/>
      <c r="K6" s="78"/>
    </row>
    <row r="7" spans="1:11" x14ac:dyDescent="0.25">
      <c r="B7" s="82" t="s">
        <v>1017</v>
      </c>
      <c r="C7" t="s">
        <v>1016</v>
      </c>
      <c r="D7" t="s">
        <v>441</v>
      </c>
      <c r="E7" t="s">
        <v>972</v>
      </c>
      <c r="F7" t="s">
        <v>1018</v>
      </c>
      <c r="G7" s="75">
        <v>37324</v>
      </c>
      <c r="H7">
        <v>3.9169999999999998</v>
      </c>
      <c r="I7" s="6">
        <v>1</v>
      </c>
      <c r="J7" s="78">
        <v>43528</v>
      </c>
      <c r="K7" s="78"/>
    </row>
    <row r="8" spans="1:11" x14ac:dyDescent="0.25">
      <c r="B8" s="82" t="s">
        <v>208</v>
      </c>
      <c r="C8" t="s">
        <v>1016</v>
      </c>
      <c r="D8" t="s">
        <v>1019</v>
      </c>
      <c r="E8" t="s">
        <v>208</v>
      </c>
      <c r="F8" t="s">
        <v>208</v>
      </c>
      <c r="G8" s="75">
        <v>37324</v>
      </c>
      <c r="H8">
        <v>3.9169999999999998</v>
      </c>
      <c r="I8" s="6">
        <v>1</v>
      </c>
      <c r="J8" s="78"/>
      <c r="K8" s="78"/>
    </row>
    <row r="9" spans="1:11" x14ac:dyDescent="0.25">
      <c r="B9" s="82" t="s">
        <v>208</v>
      </c>
      <c r="C9" t="s">
        <v>1020</v>
      </c>
      <c r="D9" t="s">
        <v>1020</v>
      </c>
      <c r="E9" t="s">
        <v>208</v>
      </c>
      <c r="F9" t="s">
        <v>208</v>
      </c>
      <c r="G9" s="75">
        <v>2538</v>
      </c>
      <c r="H9" t="s">
        <v>208</v>
      </c>
      <c r="I9" s="6">
        <v>0</v>
      </c>
      <c r="J9" s="78"/>
      <c r="K9" s="78"/>
    </row>
    <row r="10" spans="1:11" x14ac:dyDescent="0.25">
      <c r="B10" s="82" t="s">
        <v>208</v>
      </c>
      <c r="C10" t="s">
        <v>1020</v>
      </c>
      <c r="D10" t="s">
        <v>1021</v>
      </c>
      <c r="E10" t="s">
        <v>208</v>
      </c>
      <c r="F10" t="s">
        <v>208</v>
      </c>
      <c r="G10" s="75">
        <v>2538</v>
      </c>
      <c r="H10" t="s">
        <v>208</v>
      </c>
      <c r="I10" s="6">
        <v>0</v>
      </c>
      <c r="J10" s="78"/>
      <c r="K10" s="78"/>
    </row>
    <row r="11" spans="1:11" x14ac:dyDescent="0.25">
      <c r="B11" s="82" t="s">
        <v>208</v>
      </c>
      <c r="C11" t="s">
        <v>1020</v>
      </c>
      <c r="D11" t="s">
        <v>1022</v>
      </c>
      <c r="E11" t="s">
        <v>1023</v>
      </c>
      <c r="F11" t="s">
        <v>1024</v>
      </c>
      <c r="G11" s="75">
        <v>2538</v>
      </c>
      <c r="H11" t="s">
        <v>208</v>
      </c>
      <c r="I11" s="6">
        <v>0</v>
      </c>
      <c r="J11" s="78">
        <v>38113</v>
      </c>
      <c r="K11" s="78"/>
    </row>
    <row r="12" spans="1:11" x14ac:dyDescent="0.25">
      <c r="B12" s="82" t="s">
        <v>208</v>
      </c>
      <c r="C12" t="s">
        <v>1020</v>
      </c>
      <c r="D12" t="s">
        <v>1025</v>
      </c>
      <c r="E12" t="s">
        <v>208</v>
      </c>
      <c r="F12" t="s">
        <v>208</v>
      </c>
      <c r="G12" s="75">
        <v>2538</v>
      </c>
      <c r="H12" t="s">
        <v>208</v>
      </c>
      <c r="I12" s="6">
        <v>0</v>
      </c>
      <c r="J12" s="78" t="s">
        <v>208</v>
      </c>
      <c r="K12" s="78"/>
    </row>
    <row r="13" spans="1:11" x14ac:dyDescent="0.25">
      <c r="B13" s="82" t="s">
        <v>208</v>
      </c>
      <c r="C13" t="s">
        <v>1026</v>
      </c>
      <c r="D13" t="s">
        <v>1026</v>
      </c>
      <c r="E13" t="s">
        <v>208</v>
      </c>
      <c r="F13" t="s">
        <v>208</v>
      </c>
      <c r="G13" s="75">
        <v>5601</v>
      </c>
      <c r="H13" t="s">
        <v>208</v>
      </c>
      <c r="I13" s="6">
        <v>0</v>
      </c>
      <c r="J13" s="78" t="s">
        <v>208</v>
      </c>
      <c r="K13" s="78"/>
    </row>
    <row r="14" spans="1:11" x14ac:dyDescent="0.25">
      <c r="B14" s="82" t="s">
        <v>208</v>
      </c>
      <c r="C14" t="s">
        <v>1026</v>
      </c>
      <c r="D14" t="s">
        <v>1027</v>
      </c>
      <c r="E14" t="s">
        <v>208</v>
      </c>
      <c r="F14" t="s">
        <v>208</v>
      </c>
      <c r="G14" s="75">
        <v>5601</v>
      </c>
      <c r="H14" t="s">
        <v>208</v>
      </c>
      <c r="I14" s="6">
        <v>0</v>
      </c>
      <c r="J14" s="78" t="s">
        <v>208</v>
      </c>
      <c r="K14" s="78"/>
    </row>
    <row r="15" spans="1:11" x14ac:dyDescent="0.25">
      <c r="B15" s="82" t="s">
        <v>208</v>
      </c>
      <c r="C15" t="s">
        <v>1026</v>
      </c>
      <c r="D15" t="s">
        <v>1028</v>
      </c>
      <c r="E15" t="s">
        <v>208</v>
      </c>
      <c r="F15" t="s">
        <v>208</v>
      </c>
      <c r="G15" s="75">
        <v>5601</v>
      </c>
      <c r="H15" t="s">
        <v>208</v>
      </c>
      <c r="I15" s="6">
        <v>0</v>
      </c>
      <c r="J15" s="78" t="s">
        <v>208</v>
      </c>
      <c r="K15" s="78"/>
    </row>
    <row r="16" spans="1:11" x14ac:dyDescent="0.25">
      <c r="B16" s="82" t="s">
        <v>208</v>
      </c>
      <c r="C16" t="s">
        <v>1026</v>
      </c>
      <c r="D16" t="s">
        <v>1029</v>
      </c>
      <c r="E16" t="s">
        <v>208</v>
      </c>
      <c r="F16" t="s">
        <v>208</v>
      </c>
      <c r="G16" s="75">
        <v>5601</v>
      </c>
      <c r="H16" t="s">
        <v>208</v>
      </c>
      <c r="I16" s="6">
        <v>0</v>
      </c>
      <c r="J16" s="78" t="s">
        <v>208</v>
      </c>
      <c r="K16" s="78"/>
    </row>
    <row r="17" spans="2:11" x14ac:dyDescent="0.25">
      <c r="B17" s="82" t="s">
        <v>208</v>
      </c>
      <c r="C17" t="s">
        <v>1026</v>
      </c>
      <c r="D17" t="s">
        <v>1030</v>
      </c>
      <c r="E17" t="s">
        <v>1031</v>
      </c>
      <c r="F17" t="s">
        <v>1032</v>
      </c>
      <c r="G17" s="75">
        <v>5601</v>
      </c>
      <c r="H17" t="s">
        <v>208</v>
      </c>
      <c r="I17" s="6">
        <v>0</v>
      </c>
      <c r="J17" s="78">
        <v>38001</v>
      </c>
      <c r="K17" s="78"/>
    </row>
    <row r="18" spans="2:11" x14ac:dyDescent="0.25">
      <c r="B18" s="82" t="s">
        <v>208</v>
      </c>
      <c r="C18" t="s">
        <v>1033</v>
      </c>
      <c r="D18" t="s">
        <v>1033</v>
      </c>
      <c r="E18" t="s">
        <v>208</v>
      </c>
      <c r="F18" t="s">
        <v>208</v>
      </c>
      <c r="G18" s="75">
        <v>4992</v>
      </c>
      <c r="H18" t="s">
        <v>208</v>
      </c>
      <c r="I18" s="6">
        <v>0</v>
      </c>
      <c r="J18" s="78" t="s">
        <v>208</v>
      </c>
      <c r="K18" s="78"/>
    </row>
    <row r="19" spans="2:11" x14ac:dyDescent="0.25">
      <c r="B19" s="82" t="s">
        <v>208</v>
      </c>
      <c r="C19" t="s">
        <v>1034</v>
      </c>
      <c r="D19" t="s">
        <v>1034</v>
      </c>
      <c r="E19" t="s">
        <v>208</v>
      </c>
      <c r="F19" t="s">
        <v>208</v>
      </c>
      <c r="G19" s="75">
        <v>379298</v>
      </c>
      <c r="H19">
        <v>0.51400000000000001</v>
      </c>
      <c r="I19" s="6">
        <v>5</v>
      </c>
      <c r="J19" s="78" t="s">
        <v>208</v>
      </c>
      <c r="K19" s="78"/>
    </row>
    <row r="20" spans="2:11" x14ac:dyDescent="0.25">
      <c r="B20" s="82" t="s">
        <v>208</v>
      </c>
      <c r="C20" t="s">
        <v>1034</v>
      </c>
      <c r="D20" t="s">
        <v>1035</v>
      </c>
      <c r="E20" t="s">
        <v>208</v>
      </c>
      <c r="F20" t="s">
        <v>208</v>
      </c>
      <c r="G20" s="75">
        <v>379298</v>
      </c>
      <c r="H20">
        <v>0.51400000000000001</v>
      </c>
      <c r="I20" s="6">
        <v>5</v>
      </c>
      <c r="J20" s="78" t="s">
        <v>208</v>
      </c>
      <c r="K20" s="78"/>
    </row>
    <row r="21" spans="2:11" x14ac:dyDescent="0.25">
      <c r="B21" t="s">
        <v>1036</v>
      </c>
      <c r="C21" t="s">
        <v>1034</v>
      </c>
      <c r="D21" t="s">
        <v>1037</v>
      </c>
      <c r="E21" t="s">
        <v>967</v>
      </c>
      <c r="F21" t="s">
        <v>1038</v>
      </c>
      <c r="G21" s="75">
        <v>379298</v>
      </c>
      <c r="H21">
        <v>0.51400000000000001</v>
      </c>
      <c r="I21" s="6">
        <v>5</v>
      </c>
      <c r="J21" s="78">
        <v>38653</v>
      </c>
      <c r="K21" s="78"/>
    </row>
    <row r="22" spans="2:11" x14ac:dyDescent="0.25">
      <c r="B22" t="s">
        <v>208</v>
      </c>
      <c r="C22" t="s">
        <v>1039</v>
      </c>
      <c r="D22" t="s">
        <v>1039</v>
      </c>
      <c r="E22" t="s">
        <v>1040</v>
      </c>
      <c r="F22" t="s">
        <v>1041</v>
      </c>
      <c r="G22" s="75">
        <v>0</v>
      </c>
      <c r="H22" t="s">
        <v>208</v>
      </c>
      <c r="I22" s="6">
        <v>0</v>
      </c>
      <c r="J22" s="78" t="s">
        <v>208</v>
      </c>
      <c r="K22" s="78"/>
    </row>
    <row r="23" spans="2:11" x14ac:dyDescent="0.25">
      <c r="B23" t="s">
        <v>208</v>
      </c>
      <c r="C23" t="s">
        <v>1042</v>
      </c>
      <c r="D23" t="s">
        <v>1042</v>
      </c>
      <c r="E23" t="s">
        <v>208</v>
      </c>
      <c r="F23" t="s">
        <v>208</v>
      </c>
      <c r="G23" s="75">
        <v>0</v>
      </c>
      <c r="H23" t="s">
        <v>208</v>
      </c>
      <c r="I23" s="6">
        <v>0</v>
      </c>
      <c r="J23" s="78"/>
      <c r="K23" s="78"/>
    </row>
    <row r="24" spans="2:11" x14ac:dyDescent="0.25">
      <c r="B24" t="s">
        <v>208</v>
      </c>
      <c r="C24" t="s">
        <v>332</v>
      </c>
      <c r="D24" t="s">
        <v>332</v>
      </c>
      <c r="E24" t="s">
        <v>1043</v>
      </c>
      <c r="F24" t="s">
        <v>1044</v>
      </c>
      <c r="G24" s="75">
        <v>28830</v>
      </c>
      <c r="H24">
        <v>2.0139999999999998</v>
      </c>
      <c r="I24" s="6">
        <v>2</v>
      </c>
      <c r="J24" s="78">
        <v>38467</v>
      </c>
      <c r="K24" s="78"/>
    </row>
    <row r="25" spans="2:11" x14ac:dyDescent="0.25">
      <c r="B25" t="s">
        <v>208</v>
      </c>
      <c r="C25" t="s">
        <v>332</v>
      </c>
      <c r="D25" t="s">
        <v>1045</v>
      </c>
      <c r="E25" t="s">
        <v>208</v>
      </c>
      <c r="F25" t="s">
        <v>208</v>
      </c>
      <c r="G25" s="75">
        <v>28830</v>
      </c>
      <c r="H25">
        <v>2.0139999999999998</v>
      </c>
      <c r="I25" s="6">
        <v>2</v>
      </c>
      <c r="J25" s="78" t="s">
        <v>208</v>
      </c>
      <c r="K25" s="78"/>
    </row>
    <row r="26" spans="2:11" x14ac:dyDescent="0.25">
      <c r="B26" t="s">
        <v>208</v>
      </c>
      <c r="C26" t="s">
        <v>332</v>
      </c>
      <c r="D26" t="s">
        <v>1044</v>
      </c>
      <c r="E26" t="s">
        <v>208</v>
      </c>
      <c r="F26" t="s">
        <v>208</v>
      </c>
      <c r="G26" s="75">
        <v>28830</v>
      </c>
      <c r="H26">
        <v>2.0139999999999998</v>
      </c>
      <c r="I26" s="6">
        <v>2</v>
      </c>
      <c r="J26" s="78" t="s">
        <v>208</v>
      </c>
      <c r="K26" s="78"/>
    </row>
    <row r="27" spans="2:11" x14ac:dyDescent="0.25">
      <c r="B27" t="s">
        <v>208</v>
      </c>
      <c r="C27" t="s">
        <v>332</v>
      </c>
      <c r="D27" t="s">
        <v>1046</v>
      </c>
      <c r="E27" t="s">
        <v>208</v>
      </c>
      <c r="F27" t="s">
        <v>208</v>
      </c>
      <c r="G27" s="75">
        <v>28830</v>
      </c>
      <c r="H27">
        <v>2.0139999999999998</v>
      </c>
      <c r="I27" s="6">
        <v>2</v>
      </c>
      <c r="J27" s="78" t="s">
        <v>208</v>
      </c>
      <c r="K27" s="78"/>
    </row>
    <row r="28" spans="2:11" x14ac:dyDescent="0.25">
      <c r="B28" t="s">
        <v>208</v>
      </c>
      <c r="C28" t="s">
        <v>332</v>
      </c>
      <c r="D28" t="s">
        <v>1047</v>
      </c>
      <c r="E28" t="s">
        <v>208</v>
      </c>
      <c r="F28" t="s">
        <v>208</v>
      </c>
      <c r="G28" s="75">
        <v>28830</v>
      </c>
      <c r="H28">
        <v>2.0139999999999998</v>
      </c>
      <c r="I28" s="6">
        <v>2</v>
      </c>
      <c r="J28" s="78" t="s">
        <v>208</v>
      </c>
      <c r="K28" s="78"/>
    </row>
    <row r="29" spans="2:11" x14ac:dyDescent="0.25">
      <c r="B29" t="s">
        <v>208</v>
      </c>
      <c r="C29" t="s">
        <v>1048</v>
      </c>
      <c r="D29" t="s">
        <v>1048</v>
      </c>
      <c r="E29" t="s">
        <v>208</v>
      </c>
      <c r="F29" t="s">
        <v>208</v>
      </c>
      <c r="G29" s="75">
        <v>0</v>
      </c>
      <c r="H29" t="s">
        <v>208</v>
      </c>
      <c r="I29" s="6">
        <v>0</v>
      </c>
      <c r="J29" s="78">
        <v>45834</v>
      </c>
      <c r="K29" s="78"/>
    </row>
    <row r="30" spans="2:11" x14ac:dyDescent="0.25">
      <c r="B30" t="s">
        <v>208</v>
      </c>
      <c r="C30" t="s">
        <v>1049</v>
      </c>
      <c r="D30" t="s">
        <v>1049</v>
      </c>
      <c r="E30" t="s">
        <v>1050</v>
      </c>
      <c r="F30" t="s">
        <v>1051</v>
      </c>
      <c r="G30" s="75">
        <v>0</v>
      </c>
      <c r="H30" t="s">
        <v>208</v>
      </c>
      <c r="I30" s="6">
        <v>0</v>
      </c>
      <c r="J30" s="78">
        <v>44628</v>
      </c>
      <c r="K30" s="78"/>
    </row>
    <row r="31" spans="2:11" x14ac:dyDescent="0.25">
      <c r="B31" t="s">
        <v>208</v>
      </c>
      <c r="C31" t="s">
        <v>1052</v>
      </c>
      <c r="D31" t="s">
        <v>1052</v>
      </c>
      <c r="E31" t="s">
        <v>1053</v>
      </c>
      <c r="F31" t="s">
        <v>1054</v>
      </c>
      <c r="G31" s="75">
        <v>0</v>
      </c>
      <c r="H31" t="s">
        <v>208</v>
      </c>
      <c r="I31" s="6">
        <v>0</v>
      </c>
      <c r="J31" s="78">
        <v>45289</v>
      </c>
      <c r="K31" s="78"/>
    </row>
    <row r="32" spans="2:11" x14ac:dyDescent="0.25">
      <c r="B32" t="s">
        <v>1054</v>
      </c>
      <c r="C32" t="s">
        <v>1052</v>
      </c>
      <c r="D32" t="s">
        <v>294</v>
      </c>
      <c r="E32" t="s">
        <v>966</v>
      </c>
      <c r="F32" t="s">
        <v>966</v>
      </c>
      <c r="G32" s="75">
        <v>0</v>
      </c>
      <c r="H32" t="s">
        <v>208</v>
      </c>
      <c r="I32" s="6">
        <v>0</v>
      </c>
      <c r="J32" s="78">
        <v>45289</v>
      </c>
      <c r="K32" s="78"/>
    </row>
    <row r="33" spans="2:11" x14ac:dyDescent="0.25">
      <c r="B33" t="s">
        <v>208</v>
      </c>
      <c r="C33" t="s">
        <v>1052</v>
      </c>
      <c r="D33" t="s">
        <v>1055</v>
      </c>
      <c r="E33" t="s">
        <v>208</v>
      </c>
      <c r="F33" t="s">
        <v>208</v>
      </c>
      <c r="G33" s="75">
        <v>0</v>
      </c>
      <c r="H33" t="s">
        <v>208</v>
      </c>
      <c r="I33" s="6">
        <v>0</v>
      </c>
      <c r="J33" s="78"/>
      <c r="K33" s="78"/>
    </row>
    <row r="34" spans="2:11" x14ac:dyDescent="0.25">
      <c r="B34" t="s">
        <v>208</v>
      </c>
      <c r="C34" t="s">
        <v>1052</v>
      </c>
      <c r="D34" t="s">
        <v>365</v>
      </c>
      <c r="E34" t="s">
        <v>365</v>
      </c>
      <c r="F34" t="s">
        <v>1056</v>
      </c>
      <c r="G34" s="75">
        <v>0</v>
      </c>
      <c r="H34" t="s">
        <v>208</v>
      </c>
      <c r="I34" s="6">
        <v>0</v>
      </c>
      <c r="J34" s="78">
        <v>45289</v>
      </c>
      <c r="K34" s="78"/>
    </row>
    <row r="35" spans="2:11" x14ac:dyDescent="0.25">
      <c r="B35" t="s">
        <v>208</v>
      </c>
      <c r="C35" t="s">
        <v>1052</v>
      </c>
      <c r="D35" t="s">
        <v>1057</v>
      </c>
      <c r="E35" t="s">
        <v>1057</v>
      </c>
      <c r="F35" t="s">
        <v>1058</v>
      </c>
      <c r="G35" s="75">
        <v>0</v>
      </c>
      <c r="H35" t="s">
        <v>208</v>
      </c>
      <c r="I35" s="6">
        <v>0</v>
      </c>
      <c r="J35" s="78"/>
      <c r="K35" s="78"/>
    </row>
    <row r="36" spans="2:11" x14ac:dyDescent="0.25">
      <c r="B36" t="s">
        <v>208</v>
      </c>
      <c r="C36" t="s">
        <v>1052</v>
      </c>
      <c r="D36" t="s">
        <v>1059</v>
      </c>
      <c r="E36" t="s">
        <v>1060</v>
      </c>
      <c r="F36" t="s">
        <v>1060</v>
      </c>
      <c r="G36" s="75">
        <v>0</v>
      </c>
      <c r="H36" t="s">
        <v>208</v>
      </c>
      <c r="I36" s="6">
        <v>0</v>
      </c>
      <c r="J36" s="78"/>
      <c r="K36" s="78"/>
    </row>
    <row r="37" spans="2:11" x14ac:dyDescent="0.25">
      <c r="B37" t="s">
        <v>208</v>
      </c>
      <c r="C37" t="s">
        <v>1061</v>
      </c>
      <c r="D37" t="s">
        <v>1061</v>
      </c>
      <c r="E37" t="s">
        <v>208</v>
      </c>
      <c r="F37" t="s">
        <v>208</v>
      </c>
      <c r="G37" s="75">
        <v>0</v>
      </c>
      <c r="H37" t="s">
        <v>208</v>
      </c>
      <c r="I37" s="6">
        <v>0</v>
      </c>
      <c r="J37" s="78"/>
      <c r="K37" s="78"/>
    </row>
    <row r="38" spans="2:11" x14ac:dyDescent="0.25">
      <c r="B38" t="s">
        <v>208</v>
      </c>
      <c r="C38" t="s">
        <v>1062</v>
      </c>
      <c r="D38" t="s">
        <v>1062</v>
      </c>
      <c r="E38" t="s">
        <v>208</v>
      </c>
      <c r="F38" t="s">
        <v>208</v>
      </c>
      <c r="G38" s="75">
        <v>0</v>
      </c>
      <c r="H38" t="s">
        <v>208</v>
      </c>
      <c r="I38" s="6">
        <v>0</v>
      </c>
      <c r="J38" s="78"/>
      <c r="K38" s="78"/>
    </row>
    <row r="39" spans="2:11" x14ac:dyDescent="0.25">
      <c r="B39" t="s">
        <v>208</v>
      </c>
      <c r="C39" t="s">
        <v>1062</v>
      </c>
      <c r="D39" t="s">
        <v>1063</v>
      </c>
      <c r="E39" t="s">
        <v>208</v>
      </c>
      <c r="F39" t="s">
        <v>208</v>
      </c>
      <c r="G39" s="75">
        <v>0</v>
      </c>
      <c r="H39" t="s">
        <v>208</v>
      </c>
      <c r="I39" s="6">
        <v>0</v>
      </c>
      <c r="J39" s="78"/>
      <c r="K39" s="78"/>
    </row>
    <row r="40" spans="2:11" x14ac:dyDescent="0.25">
      <c r="B40" t="s">
        <v>208</v>
      </c>
      <c r="C40" t="s">
        <v>1062</v>
      </c>
      <c r="D40" t="s">
        <v>375</v>
      </c>
      <c r="E40" t="s">
        <v>375</v>
      </c>
      <c r="F40" t="s">
        <v>1064</v>
      </c>
      <c r="G40" s="75">
        <v>0</v>
      </c>
      <c r="H40" t="s">
        <v>208</v>
      </c>
      <c r="I40" s="6">
        <v>0</v>
      </c>
      <c r="J40" s="78">
        <v>45359</v>
      </c>
      <c r="K40" s="78"/>
    </row>
    <row r="41" spans="2:11" x14ac:dyDescent="0.25">
      <c r="B41" t="s">
        <v>208</v>
      </c>
      <c r="C41" t="s">
        <v>1065</v>
      </c>
      <c r="D41" t="s">
        <v>1065</v>
      </c>
      <c r="E41" t="s">
        <v>208</v>
      </c>
      <c r="F41" t="s">
        <v>208</v>
      </c>
      <c r="G41" s="75">
        <v>0</v>
      </c>
      <c r="H41">
        <v>1.244</v>
      </c>
      <c r="I41" s="6">
        <v>3</v>
      </c>
      <c r="J41" s="78">
        <v>44852</v>
      </c>
      <c r="K41" s="78"/>
    </row>
    <row r="42" spans="2:11" x14ac:dyDescent="0.25">
      <c r="B42" t="s">
        <v>208</v>
      </c>
      <c r="C42" t="s">
        <v>1065</v>
      </c>
      <c r="D42" t="s">
        <v>1066</v>
      </c>
      <c r="E42" t="s">
        <v>208</v>
      </c>
      <c r="F42" t="s">
        <v>208</v>
      </c>
      <c r="G42" s="75">
        <v>0</v>
      </c>
      <c r="H42">
        <v>1.244</v>
      </c>
      <c r="I42" s="6">
        <v>3</v>
      </c>
      <c r="J42" s="78">
        <v>44852</v>
      </c>
      <c r="K42" s="78"/>
    </row>
    <row r="43" spans="2:11" x14ac:dyDescent="0.25">
      <c r="B43" t="s">
        <v>208</v>
      </c>
      <c r="C43" t="s">
        <v>1065</v>
      </c>
      <c r="D43" t="s">
        <v>1067</v>
      </c>
      <c r="E43" t="s">
        <v>208</v>
      </c>
      <c r="F43" t="s">
        <v>208</v>
      </c>
      <c r="G43" s="75">
        <v>0</v>
      </c>
      <c r="H43">
        <v>1.244</v>
      </c>
      <c r="I43" s="6">
        <v>3</v>
      </c>
      <c r="J43" s="78">
        <v>44852</v>
      </c>
      <c r="K43" s="78"/>
    </row>
    <row r="44" spans="2:11" x14ac:dyDescent="0.25">
      <c r="B44" t="s">
        <v>208</v>
      </c>
      <c r="C44" t="s">
        <v>1065</v>
      </c>
      <c r="D44" t="s">
        <v>386</v>
      </c>
      <c r="E44" t="s">
        <v>386</v>
      </c>
      <c r="F44" t="s">
        <v>1068</v>
      </c>
      <c r="G44" s="75">
        <v>0</v>
      </c>
      <c r="H44">
        <v>1.244</v>
      </c>
      <c r="I44" s="6">
        <v>3</v>
      </c>
      <c r="J44" s="78">
        <v>44852</v>
      </c>
      <c r="K44" s="78"/>
    </row>
    <row r="45" spans="2:11" x14ac:dyDescent="0.25">
      <c r="B45" t="s">
        <v>208</v>
      </c>
      <c r="C45" t="s">
        <v>1065</v>
      </c>
      <c r="D45" t="s">
        <v>1069</v>
      </c>
      <c r="E45" t="s">
        <v>208</v>
      </c>
      <c r="F45" t="s">
        <v>208</v>
      </c>
      <c r="G45" s="75">
        <v>0</v>
      </c>
      <c r="H45">
        <v>1.244</v>
      </c>
      <c r="I45" s="6">
        <v>3</v>
      </c>
      <c r="J45" s="78">
        <v>44852</v>
      </c>
      <c r="K45" s="78"/>
    </row>
    <row r="46" spans="2:11" x14ac:dyDescent="0.25">
      <c r="B46" t="s">
        <v>208</v>
      </c>
      <c r="C46" t="s">
        <v>1065</v>
      </c>
      <c r="D46" t="s">
        <v>1070</v>
      </c>
      <c r="E46" t="s">
        <v>208</v>
      </c>
      <c r="F46" t="s">
        <v>208</v>
      </c>
      <c r="G46" s="75">
        <v>0</v>
      </c>
      <c r="H46">
        <v>1.244</v>
      </c>
      <c r="I46" s="6">
        <v>3</v>
      </c>
      <c r="J46" s="78">
        <v>44852</v>
      </c>
      <c r="K46" s="78"/>
    </row>
    <row r="47" spans="2:11" x14ac:dyDescent="0.25">
      <c r="B47" t="s">
        <v>208</v>
      </c>
      <c r="C47" t="s">
        <v>1071</v>
      </c>
      <c r="D47" t="s">
        <v>1071</v>
      </c>
      <c r="E47" t="s">
        <v>1072</v>
      </c>
      <c r="F47" t="s">
        <v>1073</v>
      </c>
      <c r="G47" s="75">
        <v>0</v>
      </c>
      <c r="H47" t="s">
        <v>208</v>
      </c>
      <c r="I47" s="6">
        <v>0</v>
      </c>
      <c r="J47" s="78" t="s">
        <v>208</v>
      </c>
      <c r="K47" s="78"/>
    </row>
    <row r="48" spans="2:11" x14ac:dyDescent="0.25">
      <c r="B48" t="s">
        <v>208</v>
      </c>
      <c r="C48" t="s">
        <v>1074</v>
      </c>
      <c r="D48" t="s">
        <v>1074</v>
      </c>
      <c r="E48" t="s">
        <v>208</v>
      </c>
      <c r="F48" t="s">
        <v>208</v>
      </c>
      <c r="G48" s="75">
        <v>0</v>
      </c>
      <c r="H48" t="s">
        <v>208</v>
      </c>
      <c r="I48" s="6">
        <v>0</v>
      </c>
      <c r="J48" s="78" t="s">
        <v>208</v>
      </c>
      <c r="K48" s="78"/>
    </row>
    <row r="49" spans="2:11" x14ac:dyDescent="0.25">
      <c r="B49" t="s">
        <v>208</v>
      </c>
      <c r="C49" t="s">
        <v>408</v>
      </c>
      <c r="D49" t="s">
        <v>408</v>
      </c>
      <c r="E49" t="s">
        <v>1075</v>
      </c>
      <c r="F49" t="s">
        <v>1076</v>
      </c>
      <c r="G49" s="75">
        <v>0</v>
      </c>
      <c r="H49" t="s">
        <v>208</v>
      </c>
      <c r="I49" s="6">
        <v>0</v>
      </c>
      <c r="J49" s="78">
        <v>44488</v>
      </c>
      <c r="K49" s="78"/>
    </row>
    <row r="50" spans="2:11" x14ac:dyDescent="0.25">
      <c r="B50" t="s">
        <v>208</v>
      </c>
      <c r="C50" t="s">
        <v>408</v>
      </c>
      <c r="D50" t="s">
        <v>1075</v>
      </c>
      <c r="E50" t="s">
        <v>1075</v>
      </c>
      <c r="F50" t="s">
        <v>1076</v>
      </c>
      <c r="G50" s="75">
        <v>0</v>
      </c>
      <c r="H50" t="s">
        <v>208</v>
      </c>
      <c r="I50" s="6">
        <v>0</v>
      </c>
      <c r="J50" s="78">
        <v>44488</v>
      </c>
      <c r="K50" s="78"/>
    </row>
    <row r="51" spans="2:11" x14ac:dyDescent="0.25">
      <c r="B51" t="s">
        <v>208</v>
      </c>
      <c r="C51" t="s">
        <v>1077</v>
      </c>
      <c r="D51" t="s">
        <v>1077</v>
      </c>
      <c r="E51" t="s">
        <v>208</v>
      </c>
      <c r="F51" t="s">
        <v>208</v>
      </c>
      <c r="G51" s="75">
        <v>10801</v>
      </c>
      <c r="H51" t="s">
        <v>208</v>
      </c>
      <c r="I51" s="6">
        <v>0</v>
      </c>
      <c r="J51" s="78" t="s">
        <v>208</v>
      </c>
      <c r="K51" s="78"/>
    </row>
    <row r="52" spans="2:11" x14ac:dyDescent="0.25">
      <c r="B52" t="s">
        <v>208</v>
      </c>
      <c r="C52" t="s">
        <v>1077</v>
      </c>
      <c r="D52" t="s">
        <v>1078</v>
      </c>
      <c r="E52" t="s">
        <v>1079</v>
      </c>
      <c r="F52" t="s">
        <v>1080</v>
      </c>
      <c r="G52" s="75">
        <v>10801</v>
      </c>
      <c r="H52" t="s">
        <v>208</v>
      </c>
      <c r="I52" s="6">
        <v>0</v>
      </c>
      <c r="J52" s="78">
        <v>39169</v>
      </c>
      <c r="K52" s="78"/>
    </row>
    <row r="53" spans="2:11" x14ac:dyDescent="0.25">
      <c r="B53" t="s">
        <v>208</v>
      </c>
      <c r="C53" t="s">
        <v>1077</v>
      </c>
      <c r="D53" t="s">
        <v>1081</v>
      </c>
      <c r="E53" t="s">
        <v>1082</v>
      </c>
      <c r="F53" t="s">
        <v>1083</v>
      </c>
      <c r="G53" s="75">
        <v>10801</v>
      </c>
      <c r="H53" t="s">
        <v>208</v>
      </c>
      <c r="I53" s="6">
        <v>0</v>
      </c>
      <c r="J53" s="78">
        <v>39169</v>
      </c>
      <c r="K53" s="78"/>
    </row>
    <row r="54" spans="2:11" x14ac:dyDescent="0.25">
      <c r="B54" t="s">
        <v>208</v>
      </c>
      <c r="C54" t="s">
        <v>1077</v>
      </c>
      <c r="D54" t="s">
        <v>1084</v>
      </c>
      <c r="E54" t="s">
        <v>208</v>
      </c>
      <c r="F54" t="s">
        <v>208</v>
      </c>
      <c r="G54" s="75">
        <v>10801</v>
      </c>
      <c r="H54" t="s">
        <v>208</v>
      </c>
      <c r="I54" s="6">
        <v>0</v>
      </c>
      <c r="J54" s="78">
        <v>39169</v>
      </c>
      <c r="K54" s="78"/>
    </row>
    <row r="55" spans="2:11" x14ac:dyDescent="0.25">
      <c r="B55" t="s">
        <v>208</v>
      </c>
      <c r="C55" t="s">
        <v>1077</v>
      </c>
      <c r="D55" t="s">
        <v>1085</v>
      </c>
      <c r="E55" t="s">
        <v>1086</v>
      </c>
      <c r="F55" t="s">
        <v>1087</v>
      </c>
      <c r="G55" s="75">
        <v>10801</v>
      </c>
      <c r="H55" t="s">
        <v>208</v>
      </c>
      <c r="I55" s="6">
        <v>0</v>
      </c>
      <c r="J55" s="78">
        <v>39169</v>
      </c>
      <c r="K55" s="78"/>
    </row>
    <row r="56" spans="2:11" x14ac:dyDescent="0.25">
      <c r="B56" t="s">
        <v>208</v>
      </c>
      <c r="C56" t="s">
        <v>1088</v>
      </c>
      <c r="D56" t="s">
        <v>1088</v>
      </c>
      <c r="E56" t="s">
        <v>208</v>
      </c>
      <c r="F56" t="s">
        <v>208</v>
      </c>
      <c r="G56" s="75">
        <v>0</v>
      </c>
      <c r="H56" t="s">
        <v>208</v>
      </c>
      <c r="I56" s="6">
        <v>0</v>
      </c>
      <c r="J56" s="78" t="s">
        <v>208</v>
      </c>
      <c r="K56" s="78"/>
    </row>
    <row r="57" spans="2:11" x14ac:dyDescent="0.25">
      <c r="B57" t="s">
        <v>208</v>
      </c>
      <c r="C57" t="s">
        <v>1089</v>
      </c>
      <c r="D57" t="s">
        <v>1089</v>
      </c>
      <c r="E57" t="s">
        <v>208</v>
      </c>
      <c r="F57" t="s">
        <v>208</v>
      </c>
      <c r="G57" s="75">
        <v>657</v>
      </c>
      <c r="H57">
        <v>1.9810000000000001</v>
      </c>
      <c r="I57" s="6">
        <v>2</v>
      </c>
      <c r="J57" s="78">
        <v>44431</v>
      </c>
      <c r="K57" s="78"/>
    </row>
    <row r="58" spans="2:11" x14ac:dyDescent="0.25">
      <c r="B58" t="s">
        <v>1090</v>
      </c>
      <c r="C58" t="s">
        <v>1089</v>
      </c>
      <c r="D58" t="s">
        <v>409</v>
      </c>
      <c r="E58" t="s">
        <v>409</v>
      </c>
      <c r="F58" t="s">
        <v>1091</v>
      </c>
      <c r="G58" s="75">
        <v>657</v>
      </c>
      <c r="H58">
        <v>1.9810000000000001</v>
      </c>
      <c r="I58" s="6">
        <v>2</v>
      </c>
      <c r="J58" s="78">
        <v>44431</v>
      </c>
      <c r="K58" s="78"/>
    </row>
    <row r="59" spans="2:11" x14ac:dyDescent="0.25">
      <c r="B59" t="s">
        <v>208</v>
      </c>
      <c r="C59" t="s">
        <v>1089</v>
      </c>
      <c r="D59" t="s">
        <v>1092</v>
      </c>
      <c r="E59" t="s">
        <v>208</v>
      </c>
      <c r="F59" t="s">
        <v>208</v>
      </c>
      <c r="G59" s="75">
        <v>657</v>
      </c>
      <c r="H59">
        <v>1.9810000000000001</v>
      </c>
      <c r="I59" s="6">
        <v>2</v>
      </c>
      <c r="J59" s="78">
        <v>44431</v>
      </c>
      <c r="K59" s="78"/>
    </row>
    <row r="60" spans="2:11" x14ac:dyDescent="0.25">
      <c r="B60" t="s">
        <v>208</v>
      </c>
      <c r="C60" t="s">
        <v>1089</v>
      </c>
      <c r="D60" t="s">
        <v>1093</v>
      </c>
      <c r="E60" t="s">
        <v>208</v>
      </c>
      <c r="F60" t="s">
        <v>208</v>
      </c>
      <c r="G60" s="75">
        <v>657</v>
      </c>
      <c r="H60">
        <v>1.9810000000000001</v>
      </c>
      <c r="I60" s="6">
        <v>2</v>
      </c>
      <c r="J60" s="78">
        <v>44431</v>
      </c>
      <c r="K60" s="78"/>
    </row>
    <row r="61" spans="2:11" x14ac:dyDescent="0.25">
      <c r="B61" t="s">
        <v>208</v>
      </c>
      <c r="C61" t="s">
        <v>1089</v>
      </c>
      <c r="D61" t="s">
        <v>1094</v>
      </c>
      <c r="E61" t="s">
        <v>1094</v>
      </c>
      <c r="F61" t="s">
        <v>1095</v>
      </c>
      <c r="G61" s="75">
        <v>657</v>
      </c>
      <c r="H61">
        <v>1.9810000000000001</v>
      </c>
      <c r="I61" s="6">
        <v>2</v>
      </c>
      <c r="J61" s="78">
        <v>44431</v>
      </c>
      <c r="K61" s="78"/>
    </row>
    <row r="62" spans="2:11" x14ac:dyDescent="0.25">
      <c r="B62" t="s">
        <v>1096</v>
      </c>
      <c r="C62" t="s">
        <v>424</v>
      </c>
      <c r="D62" t="s">
        <v>424</v>
      </c>
      <c r="E62" t="s">
        <v>1097</v>
      </c>
      <c r="F62" t="s">
        <v>1098</v>
      </c>
      <c r="G62" s="75">
        <v>155124</v>
      </c>
      <c r="H62">
        <v>1.9E-2</v>
      </c>
      <c r="I62" s="6">
        <v>5</v>
      </c>
      <c r="J62" s="78">
        <v>38246</v>
      </c>
      <c r="K62" s="78"/>
    </row>
    <row r="63" spans="2:11" x14ac:dyDescent="0.25">
      <c r="B63" t="s">
        <v>208</v>
      </c>
      <c r="C63" t="s">
        <v>424</v>
      </c>
      <c r="D63" t="s">
        <v>1099</v>
      </c>
      <c r="E63" t="s">
        <v>208</v>
      </c>
      <c r="F63" t="s">
        <v>208</v>
      </c>
      <c r="G63" s="75">
        <v>155124</v>
      </c>
      <c r="H63">
        <v>1.9E-2</v>
      </c>
      <c r="I63" s="6">
        <v>5</v>
      </c>
      <c r="J63" s="78" t="s">
        <v>208</v>
      </c>
      <c r="K63" s="78"/>
    </row>
    <row r="64" spans="2:11" x14ac:dyDescent="0.25">
      <c r="B64" t="s">
        <v>208</v>
      </c>
      <c r="C64" t="s">
        <v>424</v>
      </c>
      <c r="D64" t="s">
        <v>1100</v>
      </c>
      <c r="E64" t="s">
        <v>208</v>
      </c>
      <c r="F64" t="s">
        <v>208</v>
      </c>
      <c r="G64" s="75">
        <v>155124</v>
      </c>
      <c r="H64">
        <v>1.9E-2</v>
      </c>
      <c r="I64" s="6">
        <v>5</v>
      </c>
      <c r="J64" s="78" t="s">
        <v>208</v>
      </c>
      <c r="K64" s="78"/>
    </row>
    <row r="65" spans="2:11" x14ac:dyDescent="0.25">
      <c r="B65" t="s">
        <v>208</v>
      </c>
      <c r="C65" t="s">
        <v>424</v>
      </c>
      <c r="D65" t="s">
        <v>1101</v>
      </c>
      <c r="E65" t="s">
        <v>208</v>
      </c>
      <c r="F65" t="s">
        <v>208</v>
      </c>
      <c r="G65" s="75">
        <v>155124</v>
      </c>
      <c r="H65">
        <v>1.9E-2</v>
      </c>
      <c r="I65" s="6">
        <v>5</v>
      </c>
      <c r="J65" s="78" t="s">
        <v>208</v>
      </c>
      <c r="K65" s="78"/>
    </row>
    <row r="66" spans="2:11" x14ac:dyDescent="0.25">
      <c r="B66" t="s">
        <v>208</v>
      </c>
      <c r="C66" t="s">
        <v>424</v>
      </c>
      <c r="D66" t="s">
        <v>1102</v>
      </c>
      <c r="E66" t="s">
        <v>1102</v>
      </c>
      <c r="F66" t="s">
        <v>1103</v>
      </c>
      <c r="G66" s="75">
        <v>155124</v>
      </c>
      <c r="H66">
        <v>1.9E-2</v>
      </c>
      <c r="I66" s="6">
        <v>5</v>
      </c>
      <c r="J66" s="78">
        <v>38246</v>
      </c>
      <c r="K66" s="78"/>
    </row>
    <row r="67" spans="2:11" x14ac:dyDescent="0.25">
      <c r="B67" t="s">
        <v>208</v>
      </c>
      <c r="C67" t="s">
        <v>1104</v>
      </c>
      <c r="D67" t="s">
        <v>1104</v>
      </c>
      <c r="E67" t="s">
        <v>1105</v>
      </c>
      <c r="F67" t="s">
        <v>1106</v>
      </c>
      <c r="G67" s="75">
        <v>992</v>
      </c>
      <c r="H67" t="s">
        <v>208</v>
      </c>
      <c r="I67" s="6">
        <v>0</v>
      </c>
      <c r="J67" s="78">
        <v>39017</v>
      </c>
      <c r="K67" s="78"/>
    </row>
    <row r="68" spans="2:11" x14ac:dyDescent="0.25">
      <c r="B68" t="s">
        <v>208</v>
      </c>
      <c r="C68" t="s">
        <v>1104</v>
      </c>
      <c r="D68" t="s">
        <v>1107</v>
      </c>
      <c r="E68" t="s">
        <v>208</v>
      </c>
      <c r="F68" t="s">
        <v>208</v>
      </c>
      <c r="G68" s="75">
        <v>992</v>
      </c>
      <c r="H68" t="s">
        <v>208</v>
      </c>
      <c r="I68" s="6">
        <v>0</v>
      </c>
      <c r="J68" s="78" t="s">
        <v>208</v>
      </c>
      <c r="K68" s="78"/>
    </row>
    <row r="69" spans="2:11" x14ac:dyDescent="0.25">
      <c r="B69" t="s">
        <v>208</v>
      </c>
      <c r="C69" t="s">
        <v>1104</v>
      </c>
      <c r="D69" t="s">
        <v>1108</v>
      </c>
      <c r="E69" t="s">
        <v>208</v>
      </c>
      <c r="F69" t="s">
        <v>208</v>
      </c>
      <c r="G69" s="75">
        <v>992</v>
      </c>
      <c r="H69" t="s">
        <v>208</v>
      </c>
      <c r="I69" s="6">
        <v>0</v>
      </c>
      <c r="J69" s="78" t="s">
        <v>208</v>
      </c>
      <c r="K69" s="78"/>
    </row>
    <row r="70" spans="2:11" x14ac:dyDescent="0.25">
      <c r="B70" t="s">
        <v>208</v>
      </c>
      <c r="C70" t="s">
        <v>1104</v>
      </c>
      <c r="D70" t="s">
        <v>1109</v>
      </c>
      <c r="E70" t="s">
        <v>208</v>
      </c>
      <c r="F70" t="s">
        <v>208</v>
      </c>
      <c r="G70" s="75">
        <v>992</v>
      </c>
      <c r="H70" t="s">
        <v>208</v>
      </c>
      <c r="I70" s="6">
        <v>0</v>
      </c>
      <c r="J70" s="78" t="s">
        <v>208</v>
      </c>
      <c r="K70" s="78"/>
    </row>
    <row r="71" spans="2:11" x14ac:dyDescent="0.25">
      <c r="B71" t="s">
        <v>208</v>
      </c>
      <c r="C71" t="s">
        <v>1110</v>
      </c>
      <c r="D71" t="s">
        <v>1110</v>
      </c>
      <c r="E71" t="s">
        <v>1111</v>
      </c>
      <c r="F71" t="s">
        <v>1112</v>
      </c>
      <c r="G71" s="75">
        <v>0</v>
      </c>
      <c r="H71" t="s">
        <v>208</v>
      </c>
      <c r="I71" s="6">
        <v>0</v>
      </c>
      <c r="J71" s="78" t="s">
        <v>208</v>
      </c>
      <c r="K71" s="78"/>
    </row>
    <row r="72" spans="2:11" x14ac:dyDescent="0.25">
      <c r="B72" t="s">
        <v>1113</v>
      </c>
      <c r="C72" t="s">
        <v>486</v>
      </c>
      <c r="D72" t="s">
        <v>486</v>
      </c>
      <c r="E72" t="s">
        <v>1114</v>
      </c>
      <c r="F72" t="s">
        <v>1114</v>
      </c>
      <c r="G72" s="75">
        <v>156383</v>
      </c>
      <c r="H72">
        <v>0.7</v>
      </c>
      <c r="I72" s="6">
        <v>4</v>
      </c>
      <c r="J72" s="78">
        <v>36948</v>
      </c>
      <c r="K72" s="78"/>
    </row>
    <row r="73" spans="2:11" x14ac:dyDescent="0.25">
      <c r="B73" t="s">
        <v>208</v>
      </c>
      <c r="C73" t="s">
        <v>486</v>
      </c>
      <c r="D73" t="s">
        <v>1114</v>
      </c>
      <c r="E73" t="s">
        <v>208</v>
      </c>
      <c r="F73" t="s">
        <v>208</v>
      </c>
      <c r="G73" s="75">
        <v>156383</v>
      </c>
      <c r="H73">
        <v>0.7</v>
      </c>
      <c r="I73" s="6">
        <v>4</v>
      </c>
      <c r="J73" s="78"/>
      <c r="K73" s="78"/>
    </row>
    <row r="74" spans="2:11" x14ac:dyDescent="0.25">
      <c r="B74" t="s">
        <v>208</v>
      </c>
      <c r="C74" t="s">
        <v>486</v>
      </c>
      <c r="D74" t="s">
        <v>1115</v>
      </c>
      <c r="E74" t="s">
        <v>1116</v>
      </c>
      <c r="F74" t="s">
        <v>1116</v>
      </c>
      <c r="G74" s="75">
        <v>156383</v>
      </c>
      <c r="H74">
        <v>0.7</v>
      </c>
      <c r="I74" s="6">
        <v>4</v>
      </c>
      <c r="J74" s="78">
        <v>36948</v>
      </c>
      <c r="K74" s="78"/>
    </row>
    <row r="75" spans="2:11" x14ac:dyDescent="0.25">
      <c r="B75" t="s">
        <v>208</v>
      </c>
      <c r="C75" t="s">
        <v>486</v>
      </c>
      <c r="D75" t="s">
        <v>1117</v>
      </c>
      <c r="E75" t="s">
        <v>1118</v>
      </c>
      <c r="F75" t="s">
        <v>1119</v>
      </c>
      <c r="G75" s="75">
        <v>156383</v>
      </c>
      <c r="H75">
        <v>0.7</v>
      </c>
      <c r="I75" s="6">
        <v>4</v>
      </c>
      <c r="J75" s="78">
        <v>36948</v>
      </c>
      <c r="K75" s="78"/>
    </row>
    <row r="76" spans="2:11" x14ac:dyDescent="0.25">
      <c r="B76" t="s">
        <v>208</v>
      </c>
      <c r="C76" t="s">
        <v>1120</v>
      </c>
      <c r="D76" t="s">
        <v>1120</v>
      </c>
      <c r="E76" t="s">
        <v>1121</v>
      </c>
      <c r="F76" t="s">
        <v>1122</v>
      </c>
      <c r="G76" s="75">
        <v>0</v>
      </c>
      <c r="H76" t="s">
        <v>208</v>
      </c>
      <c r="I76" s="6">
        <v>0</v>
      </c>
      <c r="J76" s="78">
        <v>44698</v>
      </c>
      <c r="K76" s="78"/>
    </row>
    <row r="77" spans="2:11" x14ac:dyDescent="0.25">
      <c r="B77" t="s">
        <v>208</v>
      </c>
      <c r="C77" t="s">
        <v>1123</v>
      </c>
      <c r="D77" t="s">
        <v>1123</v>
      </c>
      <c r="E77" t="s">
        <v>208</v>
      </c>
      <c r="F77" t="s">
        <v>208</v>
      </c>
      <c r="G77" s="75">
        <v>2353</v>
      </c>
      <c r="H77" t="s">
        <v>208</v>
      </c>
      <c r="I77" s="6">
        <v>0</v>
      </c>
      <c r="J77" s="78" t="s">
        <v>208</v>
      </c>
      <c r="K77" s="78"/>
    </row>
    <row r="78" spans="2:11" x14ac:dyDescent="0.25">
      <c r="B78" t="s">
        <v>208</v>
      </c>
      <c r="C78" t="s">
        <v>1124</v>
      </c>
      <c r="D78" t="s">
        <v>1124</v>
      </c>
      <c r="E78" t="s">
        <v>208</v>
      </c>
      <c r="F78" t="s">
        <v>208</v>
      </c>
      <c r="G78" s="75">
        <v>0</v>
      </c>
      <c r="H78" t="s">
        <v>208</v>
      </c>
      <c r="I78" s="6">
        <v>0</v>
      </c>
      <c r="J78" s="78"/>
      <c r="K78" s="78"/>
    </row>
    <row r="79" spans="2:11" x14ac:dyDescent="0.25">
      <c r="B79" t="s">
        <v>208</v>
      </c>
      <c r="C79" t="s">
        <v>1125</v>
      </c>
      <c r="D79" t="s">
        <v>1125</v>
      </c>
      <c r="E79" t="s">
        <v>208</v>
      </c>
      <c r="F79" t="s">
        <v>208</v>
      </c>
      <c r="G79" s="75">
        <v>0</v>
      </c>
      <c r="H79" t="s">
        <v>208</v>
      </c>
      <c r="I79" s="6">
        <v>0</v>
      </c>
      <c r="J79" s="78" t="s">
        <v>208</v>
      </c>
      <c r="K79" s="78"/>
    </row>
    <row r="80" spans="2:11" x14ac:dyDescent="0.25">
      <c r="B80" t="s">
        <v>208</v>
      </c>
      <c r="C80" t="s">
        <v>1125</v>
      </c>
      <c r="D80" t="s">
        <v>1126</v>
      </c>
      <c r="E80" t="s">
        <v>208</v>
      </c>
      <c r="F80" t="s">
        <v>208</v>
      </c>
      <c r="G80" s="75">
        <v>0</v>
      </c>
      <c r="H80" t="s">
        <v>208</v>
      </c>
      <c r="I80" s="6">
        <v>0</v>
      </c>
      <c r="J80" s="78" t="s">
        <v>208</v>
      </c>
      <c r="K80" s="78"/>
    </row>
    <row r="81" spans="2:11" x14ac:dyDescent="0.25">
      <c r="B81" t="s">
        <v>208</v>
      </c>
      <c r="C81" t="s">
        <v>1125</v>
      </c>
      <c r="D81" t="s">
        <v>1127</v>
      </c>
      <c r="E81" t="s">
        <v>208</v>
      </c>
      <c r="F81" t="s">
        <v>208</v>
      </c>
      <c r="G81" s="75">
        <v>0</v>
      </c>
      <c r="H81" t="s">
        <v>208</v>
      </c>
      <c r="I81" s="6">
        <v>0</v>
      </c>
      <c r="J81" s="78" t="s">
        <v>208</v>
      </c>
      <c r="K81" s="78"/>
    </row>
    <row r="82" spans="2:11" x14ac:dyDescent="0.25">
      <c r="B82" t="s">
        <v>208</v>
      </c>
      <c r="C82" t="s">
        <v>1125</v>
      </c>
      <c r="D82" t="s">
        <v>1128</v>
      </c>
      <c r="E82" t="s">
        <v>208</v>
      </c>
      <c r="F82" t="s">
        <v>208</v>
      </c>
      <c r="G82" s="75">
        <v>0</v>
      </c>
      <c r="H82" t="s">
        <v>208</v>
      </c>
      <c r="I82" s="6">
        <v>0</v>
      </c>
      <c r="J82" s="78"/>
      <c r="K82" s="78"/>
    </row>
    <row r="83" spans="2:11" x14ac:dyDescent="0.25">
      <c r="B83" t="s">
        <v>208</v>
      </c>
      <c r="C83" t="s">
        <v>1125</v>
      </c>
      <c r="D83" t="s">
        <v>1129</v>
      </c>
      <c r="E83" t="s">
        <v>208</v>
      </c>
      <c r="F83" t="s">
        <v>208</v>
      </c>
      <c r="G83" s="75">
        <v>0</v>
      </c>
      <c r="H83" t="s">
        <v>208</v>
      </c>
      <c r="I83" s="6">
        <v>0</v>
      </c>
      <c r="J83" s="78"/>
      <c r="K83" s="78"/>
    </row>
    <row r="84" spans="2:11" x14ac:dyDescent="0.25">
      <c r="B84" t="s">
        <v>208</v>
      </c>
      <c r="C84" t="s">
        <v>1125</v>
      </c>
      <c r="D84" t="s">
        <v>1130</v>
      </c>
      <c r="E84" t="s">
        <v>208</v>
      </c>
      <c r="F84" t="s">
        <v>208</v>
      </c>
      <c r="G84" s="75">
        <v>0</v>
      </c>
      <c r="H84" t="s">
        <v>208</v>
      </c>
      <c r="I84" s="6">
        <v>0</v>
      </c>
      <c r="J84" s="78" t="s">
        <v>208</v>
      </c>
      <c r="K84" s="78"/>
    </row>
    <row r="85" spans="2:11" x14ac:dyDescent="0.25">
      <c r="B85" t="s">
        <v>208</v>
      </c>
      <c r="C85" t="s">
        <v>1131</v>
      </c>
      <c r="D85" t="s">
        <v>1131</v>
      </c>
      <c r="E85" t="s">
        <v>208</v>
      </c>
      <c r="F85" t="s">
        <v>208</v>
      </c>
      <c r="G85" s="75">
        <v>508683</v>
      </c>
      <c r="H85">
        <v>1.0129999999999999</v>
      </c>
      <c r="I85" s="6">
        <v>4</v>
      </c>
      <c r="J85" s="78" t="s">
        <v>208</v>
      </c>
      <c r="K85" s="78"/>
    </row>
    <row r="86" spans="2:11" x14ac:dyDescent="0.25">
      <c r="B86" t="s">
        <v>1132</v>
      </c>
      <c r="C86" t="s">
        <v>1131</v>
      </c>
      <c r="D86" t="s">
        <v>487</v>
      </c>
      <c r="E86" t="s">
        <v>975</v>
      </c>
      <c r="F86" t="s">
        <v>1133</v>
      </c>
      <c r="G86" s="75">
        <v>508683</v>
      </c>
      <c r="H86">
        <v>1.0129999999999999</v>
      </c>
      <c r="I86" s="6">
        <v>4</v>
      </c>
      <c r="J86" s="78">
        <v>37229</v>
      </c>
      <c r="K86" s="78"/>
    </row>
    <row r="87" spans="2:11" x14ac:dyDescent="0.25">
      <c r="B87" t="s">
        <v>208</v>
      </c>
      <c r="C87" t="s">
        <v>1131</v>
      </c>
      <c r="D87" t="s">
        <v>1134</v>
      </c>
      <c r="E87" t="s">
        <v>208</v>
      </c>
      <c r="F87" t="s">
        <v>208</v>
      </c>
      <c r="G87" s="75">
        <v>508683</v>
      </c>
      <c r="H87">
        <v>1.0129999999999999</v>
      </c>
      <c r="I87" s="6">
        <v>4</v>
      </c>
      <c r="J87" s="78" t="s">
        <v>208</v>
      </c>
      <c r="K87" s="78"/>
    </row>
    <row r="88" spans="2:11" x14ac:dyDescent="0.25">
      <c r="B88" t="s">
        <v>208</v>
      </c>
      <c r="C88" t="s">
        <v>1131</v>
      </c>
      <c r="D88" t="s">
        <v>1135</v>
      </c>
      <c r="E88" t="s">
        <v>208</v>
      </c>
      <c r="F88" t="s">
        <v>208</v>
      </c>
      <c r="G88" s="75">
        <v>508683</v>
      </c>
      <c r="H88">
        <v>1.0129999999999999</v>
      </c>
      <c r="I88" s="6">
        <v>4</v>
      </c>
      <c r="J88" s="78" t="s">
        <v>208</v>
      </c>
      <c r="K88" s="78"/>
    </row>
    <row r="89" spans="2:11" x14ac:dyDescent="0.25">
      <c r="B89" t="s">
        <v>208</v>
      </c>
      <c r="C89" t="s">
        <v>1131</v>
      </c>
      <c r="D89" t="s">
        <v>1136</v>
      </c>
      <c r="E89" t="s">
        <v>208</v>
      </c>
      <c r="F89" t="s">
        <v>208</v>
      </c>
      <c r="G89" s="75">
        <v>508683</v>
      </c>
      <c r="H89">
        <v>1.0129999999999999</v>
      </c>
      <c r="I89" s="6">
        <v>4</v>
      </c>
      <c r="J89" s="78" t="s">
        <v>208</v>
      </c>
      <c r="K89" s="78"/>
    </row>
    <row r="90" spans="2:11" x14ac:dyDescent="0.25">
      <c r="B90" t="s">
        <v>208</v>
      </c>
      <c r="C90" t="s">
        <v>1137</v>
      </c>
      <c r="D90" t="s">
        <v>1137</v>
      </c>
      <c r="E90" t="s">
        <v>208</v>
      </c>
      <c r="F90" t="s">
        <v>208</v>
      </c>
      <c r="G90" s="75">
        <v>0</v>
      </c>
      <c r="H90" t="s">
        <v>208</v>
      </c>
      <c r="I90" s="6">
        <v>0</v>
      </c>
      <c r="J90" s="78"/>
      <c r="K90" s="78"/>
    </row>
    <row r="91" spans="2:11" x14ac:dyDescent="0.25">
      <c r="B91" t="s">
        <v>1138</v>
      </c>
      <c r="C91" t="s">
        <v>1137</v>
      </c>
      <c r="D91" t="s">
        <v>730</v>
      </c>
      <c r="E91" t="s">
        <v>730</v>
      </c>
      <c r="F91" t="s">
        <v>1139</v>
      </c>
      <c r="G91" s="75">
        <v>0</v>
      </c>
      <c r="H91" t="s">
        <v>208</v>
      </c>
      <c r="I91" s="6">
        <v>0</v>
      </c>
      <c r="J91" s="78">
        <v>44819</v>
      </c>
      <c r="K91" s="78"/>
    </row>
    <row r="92" spans="2:11" x14ac:dyDescent="0.25">
      <c r="B92" t="s">
        <v>208</v>
      </c>
      <c r="C92" t="s">
        <v>1140</v>
      </c>
      <c r="D92" t="s">
        <v>1140</v>
      </c>
      <c r="E92" t="s">
        <v>1141</v>
      </c>
      <c r="F92" t="s">
        <v>1142</v>
      </c>
      <c r="G92" s="75">
        <v>0</v>
      </c>
      <c r="H92" t="s">
        <v>208</v>
      </c>
      <c r="I92" s="6">
        <v>0</v>
      </c>
      <c r="J92" s="78">
        <v>45775</v>
      </c>
      <c r="K92" s="78"/>
    </row>
    <row r="93" spans="2:11" x14ac:dyDescent="0.25">
      <c r="B93" t="s">
        <v>208</v>
      </c>
      <c r="C93" t="s">
        <v>1140</v>
      </c>
      <c r="D93" t="s">
        <v>1138</v>
      </c>
      <c r="E93" t="s">
        <v>208</v>
      </c>
      <c r="F93" t="s">
        <v>208</v>
      </c>
      <c r="G93" s="75">
        <v>0</v>
      </c>
      <c r="H93" t="s">
        <v>208</v>
      </c>
      <c r="I93" s="6">
        <v>0</v>
      </c>
      <c r="J93" s="78">
        <v>45775</v>
      </c>
      <c r="K93" s="78"/>
    </row>
    <row r="94" spans="2:11" x14ac:dyDescent="0.25">
      <c r="B94" t="s">
        <v>1138</v>
      </c>
      <c r="C94" t="s">
        <v>1140</v>
      </c>
      <c r="D94" t="s">
        <v>1143</v>
      </c>
      <c r="E94" t="s">
        <v>976</v>
      </c>
      <c r="F94" t="s">
        <v>1144</v>
      </c>
      <c r="G94" s="75">
        <v>0</v>
      </c>
      <c r="H94" t="s">
        <v>208</v>
      </c>
      <c r="I94" s="6">
        <v>0</v>
      </c>
      <c r="J94" s="78">
        <v>45775</v>
      </c>
      <c r="K94" s="78"/>
    </row>
    <row r="95" spans="2:11" x14ac:dyDescent="0.25">
      <c r="B95" t="s">
        <v>208</v>
      </c>
      <c r="C95" t="s">
        <v>1145</v>
      </c>
      <c r="D95" t="s">
        <v>1145</v>
      </c>
      <c r="E95" t="s">
        <v>1146</v>
      </c>
      <c r="F95" t="s">
        <v>1147</v>
      </c>
      <c r="G95" s="75">
        <v>0</v>
      </c>
      <c r="H95">
        <v>0</v>
      </c>
      <c r="I95" s="6">
        <v>5</v>
      </c>
      <c r="J95" s="78" t="s">
        <v>208</v>
      </c>
      <c r="K95" s="78"/>
    </row>
    <row r="96" spans="2:11" x14ac:dyDescent="0.25">
      <c r="B96" t="s">
        <v>208</v>
      </c>
      <c r="C96" t="s">
        <v>1148</v>
      </c>
      <c r="D96" t="s">
        <v>1148</v>
      </c>
      <c r="E96" t="s">
        <v>1149</v>
      </c>
      <c r="F96" t="s">
        <v>1150</v>
      </c>
      <c r="G96" s="75">
        <v>0</v>
      </c>
      <c r="H96" t="s">
        <v>208</v>
      </c>
      <c r="I96" s="6">
        <v>0</v>
      </c>
      <c r="J96" s="78" t="s">
        <v>208</v>
      </c>
      <c r="K96" s="78"/>
    </row>
    <row r="97" spans="2:11" x14ac:dyDescent="0.25">
      <c r="B97" t="s">
        <v>208</v>
      </c>
      <c r="C97" t="s">
        <v>1151</v>
      </c>
      <c r="D97" t="s">
        <v>1151</v>
      </c>
      <c r="E97" t="s">
        <v>208</v>
      </c>
      <c r="F97" t="s">
        <v>208</v>
      </c>
      <c r="G97" s="75">
        <v>122634</v>
      </c>
      <c r="H97">
        <v>1.573</v>
      </c>
      <c r="I97" s="6">
        <v>2</v>
      </c>
      <c r="J97" s="78" t="s">
        <v>208</v>
      </c>
      <c r="K97" s="78"/>
    </row>
    <row r="98" spans="2:11" x14ac:dyDescent="0.25">
      <c r="B98" t="s">
        <v>1152</v>
      </c>
      <c r="C98" t="s">
        <v>1151</v>
      </c>
      <c r="D98" t="s">
        <v>305</v>
      </c>
      <c r="E98" t="s">
        <v>968</v>
      </c>
      <c r="F98" t="s">
        <v>1153</v>
      </c>
      <c r="G98" s="75">
        <v>122634</v>
      </c>
      <c r="H98">
        <v>1.573</v>
      </c>
      <c r="I98" s="6">
        <v>2</v>
      </c>
      <c r="J98" s="78">
        <v>38016</v>
      </c>
      <c r="K98" s="78"/>
    </row>
    <row r="99" spans="2:11" x14ac:dyDescent="0.25">
      <c r="B99" t="s">
        <v>208</v>
      </c>
      <c r="C99" t="s">
        <v>1151</v>
      </c>
      <c r="D99" t="s">
        <v>1154</v>
      </c>
      <c r="E99" t="s">
        <v>208</v>
      </c>
      <c r="F99" t="s">
        <v>208</v>
      </c>
      <c r="G99" s="75">
        <v>122634</v>
      </c>
      <c r="H99">
        <v>1.573</v>
      </c>
      <c r="I99" s="6">
        <v>2</v>
      </c>
      <c r="J99" s="78" t="s">
        <v>208</v>
      </c>
      <c r="K99" s="78"/>
    </row>
    <row r="100" spans="2:11" x14ac:dyDescent="0.25">
      <c r="B100" t="s">
        <v>208</v>
      </c>
      <c r="C100" t="s">
        <v>1151</v>
      </c>
      <c r="D100" t="s">
        <v>1155</v>
      </c>
      <c r="E100" t="s">
        <v>208</v>
      </c>
      <c r="F100" t="s">
        <v>208</v>
      </c>
      <c r="G100" s="75">
        <v>122634</v>
      </c>
      <c r="H100">
        <v>1.573</v>
      </c>
      <c r="I100" s="6">
        <v>2</v>
      </c>
      <c r="J100" s="78" t="s">
        <v>208</v>
      </c>
      <c r="K100" s="78"/>
    </row>
    <row r="101" spans="2:11" x14ac:dyDescent="0.25">
      <c r="B101" t="s">
        <v>208</v>
      </c>
      <c r="C101" s="5" t="s">
        <v>1156</v>
      </c>
      <c r="D101" s="5" t="s">
        <v>1156</v>
      </c>
      <c r="E101" s="5" t="s">
        <v>208</v>
      </c>
      <c r="F101" s="5" t="s">
        <v>208</v>
      </c>
      <c r="G101" s="75">
        <v>222969</v>
      </c>
      <c r="H101">
        <v>1.165</v>
      </c>
      <c r="I101" s="6">
        <v>4</v>
      </c>
      <c r="J101" s="78" t="s">
        <v>208</v>
      </c>
      <c r="K101" s="78"/>
    </row>
    <row r="102" spans="2:11" x14ac:dyDescent="0.25">
      <c r="B102" t="s">
        <v>1157</v>
      </c>
      <c r="C102" s="5" t="s">
        <v>1156</v>
      </c>
      <c r="D102" s="5" t="s">
        <v>529</v>
      </c>
      <c r="E102" s="5" t="s">
        <v>978</v>
      </c>
      <c r="F102" s="5" t="s">
        <v>1158</v>
      </c>
      <c r="G102" s="75">
        <v>222969</v>
      </c>
      <c r="H102">
        <v>1.165</v>
      </c>
      <c r="I102" s="6">
        <v>4</v>
      </c>
      <c r="J102" s="78">
        <v>37105</v>
      </c>
      <c r="K102" s="78"/>
    </row>
    <row r="103" spans="2:11" x14ac:dyDescent="0.25">
      <c r="B103" t="s">
        <v>208</v>
      </c>
      <c r="C103" s="5" t="s">
        <v>537</v>
      </c>
      <c r="D103" s="5" t="s">
        <v>537</v>
      </c>
      <c r="E103" s="5" t="s">
        <v>1159</v>
      </c>
      <c r="F103" s="5" t="s">
        <v>1160</v>
      </c>
      <c r="G103" s="75">
        <v>0</v>
      </c>
      <c r="H103" t="s">
        <v>208</v>
      </c>
      <c r="I103" s="6">
        <v>0</v>
      </c>
      <c r="J103" s="78">
        <v>44642</v>
      </c>
      <c r="K103" s="78"/>
    </row>
    <row r="104" spans="2:11" x14ac:dyDescent="0.25">
      <c r="B104" t="s">
        <v>208</v>
      </c>
      <c r="C104" t="s">
        <v>537</v>
      </c>
      <c r="D104" t="s">
        <v>1161</v>
      </c>
      <c r="E104" t="s">
        <v>208</v>
      </c>
      <c r="F104" t="s">
        <v>208</v>
      </c>
      <c r="G104" s="75">
        <v>0</v>
      </c>
      <c r="H104" t="s">
        <v>208</v>
      </c>
      <c r="I104" s="6">
        <v>0</v>
      </c>
      <c r="J104" s="78">
        <v>44642</v>
      </c>
      <c r="K104" s="78"/>
    </row>
    <row r="105" spans="2:11" x14ac:dyDescent="0.25">
      <c r="B105" t="s">
        <v>1128</v>
      </c>
      <c r="C105" s="5" t="s">
        <v>539</v>
      </c>
      <c r="D105" s="5" t="s">
        <v>539</v>
      </c>
      <c r="E105" s="5" t="s">
        <v>1162</v>
      </c>
      <c r="F105" s="5" t="s">
        <v>1163</v>
      </c>
      <c r="G105" s="75">
        <v>320578</v>
      </c>
      <c r="H105">
        <v>0.67800000000000005</v>
      </c>
      <c r="I105" s="6">
        <v>4</v>
      </c>
      <c r="J105" s="78">
        <v>36920</v>
      </c>
      <c r="K105" s="78"/>
    </row>
    <row r="106" spans="2:11" x14ac:dyDescent="0.25">
      <c r="B106" t="s">
        <v>208</v>
      </c>
      <c r="C106" t="s">
        <v>539</v>
      </c>
      <c r="D106" t="s">
        <v>1164</v>
      </c>
      <c r="E106" t="s">
        <v>208</v>
      </c>
      <c r="F106" t="s">
        <v>208</v>
      </c>
      <c r="G106" s="75">
        <v>320578</v>
      </c>
      <c r="H106">
        <v>0.67800000000000005</v>
      </c>
      <c r="I106" s="6">
        <v>4</v>
      </c>
      <c r="J106" s="78"/>
      <c r="K106" s="78"/>
    </row>
    <row r="107" spans="2:11" x14ac:dyDescent="0.25">
      <c r="B107" t="s">
        <v>208</v>
      </c>
      <c r="C107" s="5" t="s">
        <v>539</v>
      </c>
      <c r="D107" s="5" t="s">
        <v>1165</v>
      </c>
      <c r="E107" s="5" t="s">
        <v>208</v>
      </c>
      <c r="F107" s="5" t="s">
        <v>208</v>
      </c>
      <c r="G107" s="75">
        <v>320578</v>
      </c>
      <c r="H107">
        <v>0.67800000000000005</v>
      </c>
      <c r="I107" s="6">
        <v>4</v>
      </c>
      <c r="J107" s="78"/>
      <c r="K107" s="78"/>
    </row>
    <row r="108" spans="2:11" x14ac:dyDescent="0.25">
      <c r="B108" t="s">
        <v>208</v>
      </c>
      <c r="C108" t="s">
        <v>1166</v>
      </c>
      <c r="D108" t="s">
        <v>1166</v>
      </c>
      <c r="E108" t="s">
        <v>208</v>
      </c>
      <c r="F108" t="s">
        <v>208</v>
      </c>
      <c r="G108" s="75">
        <v>0</v>
      </c>
      <c r="H108" t="s">
        <v>208</v>
      </c>
      <c r="I108" s="6">
        <v>0</v>
      </c>
      <c r="J108" s="78"/>
      <c r="K108" s="78"/>
    </row>
    <row r="109" spans="2:11" x14ac:dyDescent="0.25">
      <c r="B109" t="s">
        <v>208</v>
      </c>
      <c r="C109" t="s">
        <v>1167</v>
      </c>
      <c r="D109" t="s">
        <v>1167</v>
      </c>
      <c r="E109" t="s">
        <v>208</v>
      </c>
      <c r="F109" t="s">
        <v>208</v>
      </c>
      <c r="G109" s="75">
        <v>0</v>
      </c>
      <c r="H109" t="s">
        <v>208</v>
      </c>
      <c r="I109" s="6">
        <v>0</v>
      </c>
      <c r="J109" s="78"/>
      <c r="K109" s="78"/>
    </row>
    <row r="110" spans="2:11" x14ac:dyDescent="0.25">
      <c r="B110" t="s">
        <v>208</v>
      </c>
      <c r="C110" t="s">
        <v>1167</v>
      </c>
      <c r="D110" t="s">
        <v>1168</v>
      </c>
      <c r="E110" t="s">
        <v>208</v>
      </c>
      <c r="F110" t="s">
        <v>208</v>
      </c>
      <c r="G110" s="75">
        <v>0</v>
      </c>
      <c r="H110" t="s">
        <v>208</v>
      </c>
      <c r="I110" s="6">
        <v>0</v>
      </c>
      <c r="J110" s="78"/>
      <c r="K110" s="78"/>
    </row>
    <row r="111" spans="2:11" x14ac:dyDescent="0.25">
      <c r="B111" t="s">
        <v>208</v>
      </c>
      <c r="C111" t="s">
        <v>1167</v>
      </c>
      <c r="D111" t="s">
        <v>1169</v>
      </c>
      <c r="E111" t="s">
        <v>208</v>
      </c>
      <c r="F111" t="s">
        <v>208</v>
      </c>
      <c r="G111" s="75">
        <v>0</v>
      </c>
      <c r="H111" t="s">
        <v>208</v>
      </c>
      <c r="I111" s="6">
        <v>0</v>
      </c>
      <c r="J111" s="78"/>
      <c r="K111" s="78"/>
    </row>
    <row r="112" spans="2:11" x14ac:dyDescent="0.25">
      <c r="B112" t="s">
        <v>208</v>
      </c>
      <c r="C112" t="s">
        <v>1170</v>
      </c>
      <c r="D112" t="s">
        <v>1170</v>
      </c>
      <c r="E112" t="s">
        <v>208</v>
      </c>
      <c r="F112" t="s">
        <v>208</v>
      </c>
      <c r="G112" s="75">
        <v>0</v>
      </c>
      <c r="H112" t="s">
        <v>208</v>
      </c>
      <c r="I112" s="6">
        <v>0</v>
      </c>
      <c r="J112" s="78"/>
      <c r="K112" s="78"/>
    </row>
    <row r="113" spans="2:11" x14ac:dyDescent="0.25">
      <c r="B113" t="s">
        <v>1171</v>
      </c>
      <c r="C113" t="s">
        <v>551</v>
      </c>
      <c r="D113" t="s">
        <v>551</v>
      </c>
      <c r="E113" t="s">
        <v>1172</v>
      </c>
      <c r="F113" t="s">
        <v>1173</v>
      </c>
      <c r="G113" s="75">
        <v>7244</v>
      </c>
      <c r="H113" t="s">
        <v>208</v>
      </c>
      <c r="I113" s="6">
        <v>0</v>
      </c>
      <c r="J113" s="78">
        <v>43003</v>
      </c>
      <c r="K113" s="78"/>
    </row>
    <row r="114" spans="2:11" x14ac:dyDescent="0.25">
      <c r="B114" t="s">
        <v>208</v>
      </c>
      <c r="C114" t="s">
        <v>1174</v>
      </c>
      <c r="D114" t="s">
        <v>1174</v>
      </c>
      <c r="E114" t="s">
        <v>1175</v>
      </c>
      <c r="F114" t="s">
        <v>1176</v>
      </c>
      <c r="G114" s="75">
        <v>5174</v>
      </c>
      <c r="H114" t="s">
        <v>208</v>
      </c>
      <c r="I114" s="6">
        <v>0</v>
      </c>
      <c r="J114" s="78">
        <v>38244</v>
      </c>
      <c r="K114" s="78"/>
    </row>
    <row r="115" spans="2:11" x14ac:dyDescent="0.25">
      <c r="B115" t="s">
        <v>208</v>
      </c>
      <c r="C115" t="s">
        <v>1174</v>
      </c>
      <c r="D115" t="s">
        <v>1177</v>
      </c>
      <c r="E115" t="s">
        <v>208</v>
      </c>
      <c r="F115" t="s">
        <v>208</v>
      </c>
      <c r="G115" s="75">
        <v>5174</v>
      </c>
      <c r="H115" t="s">
        <v>208</v>
      </c>
      <c r="I115" s="6">
        <v>0</v>
      </c>
      <c r="J115" s="78"/>
      <c r="K115" s="78"/>
    </row>
    <row r="116" spans="2:11" x14ac:dyDescent="0.25">
      <c r="B116" t="s">
        <v>208</v>
      </c>
      <c r="C116" t="s">
        <v>1174</v>
      </c>
      <c r="D116" t="s">
        <v>1178</v>
      </c>
      <c r="E116" t="s">
        <v>208</v>
      </c>
      <c r="F116" t="s">
        <v>208</v>
      </c>
      <c r="G116" s="75">
        <v>5174</v>
      </c>
      <c r="H116" t="s">
        <v>208</v>
      </c>
      <c r="I116" s="6">
        <v>0</v>
      </c>
      <c r="J116" s="78"/>
      <c r="K116" s="78"/>
    </row>
    <row r="117" spans="2:11" x14ac:dyDescent="0.25">
      <c r="B117" t="s">
        <v>208</v>
      </c>
      <c r="C117" t="s">
        <v>1174</v>
      </c>
      <c r="D117" t="s">
        <v>1179</v>
      </c>
      <c r="E117" t="s">
        <v>208</v>
      </c>
      <c r="F117" t="s">
        <v>208</v>
      </c>
      <c r="G117" s="75">
        <v>5174</v>
      </c>
      <c r="H117" t="s">
        <v>208</v>
      </c>
      <c r="I117" s="6">
        <v>0</v>
      </c>
      <c r="J117" s="78"/>
      <c r="K117" s="78"/>
    </row>
    <row r="118" spans="2:11" x14ac:dyDescent="0.25">
      <c r="B118" t="s">
        <v>208</v>
      </c>
      <c r="C118" t="s">
        <v>1180</v>
      </c>
      <c r="D118" t="s">
        <v>1180</v>
      </c>
      <c r="E118" t="s">
        <v>208</v>
      </c>
      <c r="F118" t="s">
        <v>208</v>
      </c>
      <c r="G118" s="75">
        <v>0</v>
      </c>
      <c r="H118" t="s">
        <v>208</v>
      </c>
      <c r="I118" s="6">
        <v>0</v>
      </c>
      <c r="J118" s="78"/>
      <c r="K118" s="78"/>
    </row>
    <row r="119" spans="2:11" x14ac:dyDescent="0.25">
      <c r="B119" t="s">
        <v>208</v>
      </c>
      <c r="C119" t="s">
        <v>1181</v>
      </c>
      <c r="D119" t="s">
        <v>1181</v>
      </c>
      <c r="E119" t="s">
        <v>1182</v>
      </c>
      <c r="F119" t="s">
        <v>1183</v>
      </c>
      <c r="G119" s="75">
        <v>891</v>
      </c>
      <c r="H119" t="s">
        <v>208</v>
      </c>
      <c r="I119" s="6">
        <v>0</v>
      </c>
      <c r="J119" s="78">
        <v>44372</v>
      </c>
      <c r="K119" s="78"/>
    </row>
    <row r="120" spans="2:11" x14ac:dyDescent="0.25">
      <c r="B120" t="s">
        <v>208</v>
      </c>
      <c r="C120" t="s">
        <v>1184</v>
      </c>
      <c r="D120" t="s">
        <v>1184</v>
      </c>
      <c r="E120" t="s">
        <v>208</v>
      </c>
      <c r="F120" t="s">
        <v>208</v>
      </c>
      <c r="G120" s="75">
        <v>39501</v>
      </c>
      <c r="H120" t="s">
        <v>208</v>
      </c>
      <c r="I120" s="6">
        <v>0</v>
      </c>
      <c r="J120" s="78">
        <v>44099</v>
      </c>
      <c r="K120" s="78"/>
    </row>
    <row r="121" spans="2:11" x14ac:dyDescent="0.25">
      <c r="B121" t="s">
        <v>208</v>
      </c>
      <c r="C121" t="s">
        <v>1184</v>
      </c>
      <c r="D121" t="s">
        <v>1185</v>
      </c>
      <c r="E121" t="s">
        <v>1186</v>
      </c>
      <c r="F121" t="s">
        <v>1187</v>
      </c>
      <c r="G121" s="75">
        <v>39501</v>
      </c>
      <c r="H121" t="s">
        <v>208</v>
      </c>
      <c r="I121" s="6">
        <v>0</v>
      </c>
      <c r="J121" s="78"/>
      <c r="K121" s="78"/>
    </row>
    <row r="122" spans="2:11" x14ac:dyDescent="0.25">
      <c r="B122" t="s">
        <v>208</v>
      </c>
      <c r="C122" t="s">
        <v>1184</v>
      </c>
      <c r="D122" t="s">
        <v>1188</v>
      </c>
      <c r="E122" t="s">
        <v>1188</v>
      </c>
      <c r="F122" t="s">
        <v>1189</v>
      </c>
      <c r="G122" s="75">
        <v>39501</v>
      </c>
      <c r="H122" t="s">
        <v>208</v>
      </c>
      <c r="I122" s="6">
        <v>0</v>
      </c>
      <c r="J122" s="78">
        <v>44099</v>
      </c>
      <c r="K122" s="78"/>
    </row>
    <row r="123" spans="2:11" x14ac:dyDescent="0.25">
      <c r="B123" t="s">
        <v>208</v>
      </c>
      <c r="C123" t="s">
        <v>1184</v>
      </c>
      <c r="D123" t="s">
        <v>1190</v>
      </c>
      <c r="E123" t="s">
        <v>1190</v>
      </c>
      <c r="F123" t="s">
        <v>1191</v>
      </c>
      <c r="G123" s="75">
        <v>39501</v>
      </c>
      <c r="H123" t="s">
        <v>208</v>
      </c>
      <c r="I123" s="6">
        <v>0</v>
      </c>
      <c r="J123" s="78">
        <v>44099</v>
      </c>
      <c r="K123" s="78"/>
    </row>
    <row r="124" spans="2:11" x14ac:dyDescent="0.25">
      <c r="B124" t="s">
        <v>208</v>
      </c>
      <c r="C124" t="s">
        <v>1184</v>
      </c>
      <c r="D124" t="s">
        <v>1192</v>
      </c>
      <c r="E124" t="s">
        <v>1192</v>
      </c>
      <c r="F124" t="s">
        <v>1193</v>
      </c>
      <c r="G124" s="75">
        <v>39501</v>
      </c>
      <c r="H124" t="s">
        <v>208</v>
      </c>
      <c r="I124" s="6">
        <v>0</v>
      </c>
      <c r="J124" s="78">
        <v>44099</v>
      </c>
      <c r="K124" s="78"/>
    </row>
    <row r="125" spans="2:11" x14ac:dyDescent="0.25">
      <c r="B125" t="s">
        <v>208</v>
      </c>
      <c r="C125" t="s">
        <v>1184</v>
      </c>
      <c r="D125" t="s">
        <v>1194</v>
      </c>
      <c r="E125" t="s">
        <v>1194</v>
      </c>
      <c r="F125" t="s">
        <v>1195</v>
      </c>
      <c r="G125" s="75">
        <v>39501</v>
      </c>
      <c r="H125" t="s">
        <v>208</v>
      </c>
      <c r="I125" s="6">
        <v>0</v>
      </c>
      <c r="J125" s="78">
        <v>44099</v>
      </c>
      <c r="K125" s="78"/>
    </row>
    <row r="126" spans="2:11" x14ac:dyDescent="0.25">
      <c r="B126" t="s">
        <v>208</v>
      </c>
      <c r="C126" t="s">
        <v>1196</v>
      </c>
      <c r="D126" t="s">
        <v>1196</v>
      </c>
      <c r="E126" t="s">
        <v>208</v>
      </c>
      <c r="F126" t="s">
        <v>208</v>
      </c>
      <c r="G126" s="75">
        <v>214531</v>
      </c>
      <c r="H126">
        <v>1.8620000000000001</v>
      </c>
      <c r="I126" s="6">
        <v>2</v>
      </c>
      <c r="J126" s="78" t="s">
        <v>208</v>
      </c>
      <c r="K126" s="78"/>
    </row>
    <row r="127" spans="2:11" x14ac:dyDescent="0.25">
      <c r="B127" t="s">
        <v>1152</v>
      </c>
      <c r="C127" t="s">
        <v>1196</v>
      </c>
      <c r="D127" t="s">
        <v>568</v>
      </c>
      <c r="E127" t="s">
        <v>984</v>
      </c>
      <c r="F127" t="s">
        <v>1152</v>
      </c>
      <c r="G127" s="75">
        <v>214531</v>
      </c>
      <c r="H127">
        <v>1.8620000000000001</v>
      </c>
      <c r="I127" s="6">
        <v>2</v>
      </c>
      <c r="J127" s="78">
        <v>37482</v>
      </c>
      <c r="K127" s="78"/>
    </row>
    <row r="128" spans="2:11" x14ac:dyDescent="0.25">
      <c r="B128" t="s">
        <v>208</v>
      </c>
      <c r="C128" t="s">
        <v>1196</v>
      </c>
      <c r="D128" t="s">
        <v>1197</v>
      </c>
      <c r="E128" t="s">
        <v>208</v>
      </c>
      <c r="F128" t="s">
        <v>208</v>
      </c>
      <c r="G128" s="75">
        <v>214531</v>
      </c>
      <c r="H128">
        <v>1.8620000000000001</v>
      </c>
      <c r="I128" s="6">
        <v>2</v>
      </c>
      <c r="J128" s="78" t="s">
        <v>208</v>
      </c>
      <c r="K128" s="78"/>
    </row>
    <row r="129" spans="2:11" x14ac:dyDescent="0.25">
      <c r="B129" t="s">
        <v>208</v>
      </c>
      <c r="C129" t="s">
        <v>1196</v>
      </c>
      <c r="D129" t="s">
        <v>1198</v>
      </c>
      <c r="E129" t="s">
        <v>208</v>
      </c>
      <c r="F129" t="s">
        <v>208</v>
      </c>
      <c r="G129" s="75">
        <v>214531</v>
      </c>
      <c r="H129">
        <v>1.8620000000000001</v>
      </c>
      <c r="I129" s="6">
        <v>2</v>
      </c>
      <c r="J129" s="78" t="s">
        <v>208</v>
      </c>
      <c r="K129" s="78"/>
    </row>
    <row r="130" spans="2:11" x14ac:dyDescent="0.25">
      <c r="B130" t="s">
        <v>208</v>
      </c>
      <c r="C130" t="s">
        <v>1199</v>
      </c>
      <c r="D130" t="s">
        <v>1199</v>
      </c>
      <c r="E130" t="s">
        <v>208</v>
      </c>
      <c r="F130" t="s">
        <v>208</v>
      </c>
      <c r="G130" s="75">
        <v>0</v>
      </c>
      <c r="H130" t="s">
        <v>208</v>
      </c>
      <c r="I130" s="6">
        <v>0</v>
      </c>
      <c r="J130" s="78">
        <v>45394</v>
      </c>
      <c r="K130" s="78"/>
    </row>
    <row r="131" spans="2:11" x14ac:dyDescent="0.25">
      <c r="B131" t="s">
        <v>985</v>
      </c>
      <c r="C131" t="s">
        <v>1199</v>
      </c>
      <c r="D131" t="s">
        <v>1200</v>
      </c>
      <c r="E131" t="s">
        <v>985</v>
      </c>
      <c r="F131" t="s">
        <v>985</v>
      </c>
      <c r="G131" s="75">
        <v>0</v>
      </c>
      <c r="H131" t="s">
        <v>208</v>
      </c>
      <c r="I131" s="6">
        <v>0</v>
      </c>
      <c r="J131" s="78">
        <v>45394</v>
      </c>
      <c r="K131" s="78"/>
    </row>
    <row r="132" spans="2:11" x14ac:dyDescent="0.25">
      <c r="B132" t="s">
        <v>208</v>
      </c>
      <c r="C132" t="s">
        <v>1199</v>
      </c>
      <c r="D132" t="s">
        <v>1201</v>
      </c>
      <c r="E132" t="s">
        <v>208</v>
      </c>
      <c r="F132" t="s">
        <v>208</v>
      </c>
      <c r="G132" s="75">
        <v>0</v>
      </c>
      <c r="H132" t="s">
        <v>208</v>
      </c>
      <c r="I132" s="6">
        <v>0</v>
      </c>
      <c r="J132" s="78">
        <v>45394</v>
      </c>
      <c r="K132" s="78"/>
    </row>
    <row r="133" spans="2:11" x14ac:dyDescent="0.25">
      <c r="B133" t="s">
        <v>208</v>
      </c>
      <c r="C133" t="s">
        <v>1202</v>
      </c>
      <c r="D133" t="s">
        <v>1202</v>
      </c>
      <c r="E133" t="s">
        <v>208</v>
      </c>
      <c r="F133" t="s">
        <v>208</v>
      </c>
      <c r="G133" s="75">
        <v>0</v>
      </c>
      <c r="H133" t="s">
        <v>208</v>
      </c>
      <c r="I133" s="6">
        <v>0</v>
      </c>
      <c r="J133" s="78"/>
      <c r="K133" s="78"/>
    </row>
    <row r="134" spans="2:11" x14ac:dyDescent="0.25">
      <c r="B134" t="s">
        <v>208</v>
      </c>
      <c r="C134" t="s">
        <v>1203</v>
      </c>
      <c r="D134" t="s">
        <v>1203</v>
      </c>
      <c r="E134" t="s">
        <v>208</v>
      </c>
      <c r="F134" t="s">
        <v>208</v>
      </c>
      <c r="G134" s="75">
        <v>0</v>
      </c>
      <c r="H134" t="s">
        <v>208</v>
      </c>
      <c r="I134" s="6">
        <v>0</v>
      </c>
      <c r="J134" s="78"/>
      <c r="K134" s="78"/>
    </row>
    <row r="135" spans="2:11" x14ac:dyDescent="0.25">
      <c r="B135" t="s">
        <v>208</v>
      </c>
      <c r="C135" t="s">
        <v>1204</v>
      </c>
      <c r="D135" t="s">
        <v>1204</v>
      </c>
      <c r="E135" t="s">
        <v>208</v>
      </c>
      <c r="F135" t="s">
        <v>208</v>
      </c>
      <c r="G135" s="75">
        <v>0</v>
      </c>
      <c r="H135" t="s">
        <v>208</v>
      </c>
      <c r="I135" s="6">
        <v>0</v>
      </c>
      <c r="J135" s="78"/>
      <c r="K135" s="78"/>
    </row>
    <row r="136" spans="2:11" x14ac:dyDescent="0.25">
      <c r="B136" t="s">
        <v>208</v>
      </c>
      <c r="C136" t="s">
        <v>1204</v>
      </c>
      <c r="D136" t="s">
        <v>1205</v>
      </c>
      <c r="E136" t="s">
        <v>208</v>
      </c>
      <c r="F136" t="s">
        <v>208</v>
      </c>
      <c r="G136" s="75">
        <v>0</v>
      </c>
      <c r="H136" t="s">
        <v>208</v>
      </c>
      <c r="I136" s="6">
        <v>0</v>
      </c>
      <c r="J136" s="78"/>
      <c r="K136" s="78"/>
    </row>
    <row r="137" spans="2:11" x14ac:dyDescent="0.25">
      <c r="B137" t="s">
        <v>208</v>
      </c>
      <c r="C137" t="s">
        <v>1204</v>
      </c>
      <c r="D137" t="s">
        <v>1206</v>
      </c>
      <c r="E137" t="s">
        <v>208</v>
      </c>
      <c r="F137" t="s">
        <v>208</v>
      </c>
      <c r="G137" s="75">
        <v>0</v>
      </c>
      <c r="H137" t="s">
        <v>208</v>
      </c>
      <c r="I137" s="6">
        <v>0</v>
      </c>
      <c r="J137" s="78"/>
      <c r="K137" s="78"/>
    </row>
    <row r="138" spans="2:11" x14ac:dyDescent="0.25">
      <c r="B138" t="s">
        <v>208</v>
      </c>
      <c r="C138" t="s">
        <v>1204</v>
      </c>
      <c r="D138" t="s">
        <v>1207</v>
      </c>
      <c r="E138" t="s">
        <v>208</v>
      </c>
      <c r="F138" t="s">
        <v>208</v>
      </c>
      <c r="G138" s="75">
        <v>0</v>
      </c>
      <c r="H138" t="s">
        <v>208</v>
      </c>
      <c r="I138" s="6">
        <v>0</v>
      </c>
      <c r="J138" s="78"/>
      <c r="K138" s="78"/>
    </row>
    <row r="139" spans="2:11" x14ac:dyDescent="0.25">
      <c r="B139" t="s">
        <v>208</v>
      </c>
      <c r="C139" t="s">
        <v>1204</v>
      </c>
      <c r="D139" t="s">
        <v>1208</v>
      </c>
      <c r="E139" t="s">
        <v>208</v>
      </c>
      <c r="F139" t="s">
        <v>208</v>
      </c>
      <c r="G139" s="75">
        <v>0</v>
      </c>
      <c r="H139" t="s">
        <v>208</v>
      </c>
      <c r="I139" s="6">
        <v>0</v>
      </c>
      <c r="J139" s="78"/>
      <c r="K139" s="78"/>
    </row>
    <row r="140" spans="2:11" x14ac:dyDescent="0.25">
      <c r="B140" t="s">
        <v>208</v>
      </c>
      <c r="C140" t="s">
        <v>1209</v>
      </c>
      <c r="D140" t="s">
        <v>1209</v>
      </c>
      <c r="E140" t="s">
        <v>208</v>
      </c>
      <c r="F140" t="s">
        <v>208</v>
      </c>
      <c r="G140" s="75">
        <v>0</v>
      </c>
      <c r="H140">
        <v>1.242</v>
      </c>
      <c r="I140" s="6">
        <v>3</v>
      </c>
      <c r="J140" s="78">
        <v>44529</v>
      </c>
      <c r="K140" s="78"/>
    </row>
    <row r="141" spans="2:11" x14ac:dyDescent="0.25">
      <c r="B141" t="s">
        <v>208</v>
      </c>
      <c r="C141" t="s">
        <v>1209</v>
      </c>
      <c r="D141" t="s">
        <v>1210</v>
      </c>
      <c r="E141" t="s">
        <v>1210</v>
      </c>
      <c r="F141" t="s">
        <v>1210</v>
      </c>
      <c r="G141" s="75">
        <v>0</v>
      </c>
      <c r="H141">
        <v>1.242</v>
      </c>
      <c r="I141" s="6">
        <v>3</v>
      </c>
      <c r="J141" s="78">
        <v>44529</v>
      </c>
      <c r="K141" s="78"/>
    </row>
    <row r="142" spans="2:11" x14ac:dyDescent="0.25">
      <c r="B142" t="s">
        <v>208</v>
      </c>
      <c r="C142" t="s">
        <v>1211</v>
      </c>
      <c r="D142" t="s">
        <v>1211</v>
      </c>
      <c r="E142" t="s">
        <v>208</v>
      </c>
      <c r="F142" t="s">
        <v>208</v>
      </c>
      <c r="G142" s="75">
        <v>0</v>
      </c>
      <c r="H142" t="s">
        <v>208</v>
      </c>
      <c r="I142" s="6">
        <v>0</v>
      </c>
      <c r="J142" s="78"/>
      <c r="K142" s="78"/>
    </row>
    <row r="143" spans="2:11" x14ac:dyDescent="0.25">
      <c r="B143" t="s">
        <v>208</v>
      </c>
      <c r="C143" t="s">
        <v>1212</v>
      </c>
      <c r="D143" t="s">
        <v>1212</v>
      </c>
      <c r="E143" t="s">
        <v>1213</v>
      </c>
      <c r="F143" t="s">
        <v>1214</v>
      </c>
      <c r="G143" s="75">
        <v>5739</v>
      </c>
      <c r="H143" t="s">
        <v>208</v>
      </c>
      <c r="I143" s="6">
        <v>0</v>
      </c>
      <c r="J143" s="78">
        <v>39506</v>
      </c>
      <c r="K143" s="78"/>
    </row>
    <row r="144" spans="2:11" x14ac:dyDescent="0.25">
      <c r="B144" t="s">
        <v>208</v>
      </c>
      <c r="C144" t="s">
        <v>1215</v>
      </c>
      <c r="D144" t="s">
        <v>1215</v>
      </c>
      <c r="E144" t="s">
        <v>1216</v>
      </c>
      <c r="F144" t="s">
        <v>1217</v>
      </c>
      <c r="G144" s="75">
        <v>24160</v>
      </c>
      <c r="H144">
        <v>1.325</v>
      </c>
      <c r="I144" s="6">
        <v>3</v>
      </c>
      <c r="J144" s="78">
        <v>39731</v>
      </c>
      <c r="K144" s="78"/>
    </row>
    <row r="145" spans="2:11" x14ac:dyDescent="0.25">
      <c r="B145" t="s">
        <v>208</v>
      </c>
      <c r="C145" t="s">
        <v>1215</v>
      </c>
      <c r="D145" t="s">
        <v>1218</v>
      </c>
      <c r="E145" t="s">
        <v>208</v>
      </c>
      <c r="F145" t="s">
        <v>208</v>
      </c>
      <c r="G145" s="75">
        <v>24160</v>
      </c>
      <c r="H145">
        <v>1.325</v>
      </c>
      <c r="I145" s="6">
        <v>3</v>
      </c>
      <c r="J145" s="78" t="s">
        <v>208</v>
      </c>
      <c r="K145" s="78"/>
    </row>
    <row r="146" spans="2:11" x14ac:dyDescent="0.25">
      <c r="B146" t="s">
        <v>208</v>
      </c>
      <c r="C146" t="s">
        <v>1215</v>
      </c>
      <c r="D146" t="s">
        <v>1219</v>
      </c>
      <c r="E146" t="s">
        <v>1220</v>
      </c>
      <c r="F146" t="s">
        <v>1221</v>
      </c>
      <c r="G146" s="75">
        <v>24160</v>
      </c>
      <c r="H146">
        <v>1.325</v>
      </c>
      <c r="I146" s="6">
        <v>3</v>
      </c>
      <c r="J146" s="78">
        <v>39731</v>
      </c>
      <c r="K146" s="78"/>
    </row>
    <row r="147" spans="2:11" x14ac:dyDescent="0.25">
      <c r="B147" t="s">
        <v>1222</v>
      </c>
      <c r="C147" t="s">
        <v>1223</v>
      </c>
      <c r="D147" t="s">
        <v>1223</v>
      </c>
      <c r="E147" t="s">
        <v>1224</v>
      </c>
      <c r="F147" t="s">
        <v>1225</v>
      </c>
      <c r="G147" s="75">
        <v>0</v>
      </c>
      <c r="H147" t="s">
        <v>208</v>
      </c>
      <c r="I147" s="6">
        <v>0</v>
      </c>
      <c r="J147" s="78">
        <v>45671</v>
      </c>
      <c r="K147" s="78"/>
    </row>
    <row r="148" spans="2:11" x14ac:dyDescent="0.25">
      <c r="B148" t="s">
        <v>208</v>
      </c>
      <c r="C148" t="s">
        <v>618</v>
      </c>
      <c r="D148" t="s">
        <v>618</v>
      </c>
      <c r="E148" t="s">
        <v>601</v>
      </c>
      <c r="F148" t="s">
        <v>1226</v>
      </c>
      <c r="G148" s="75">
        <v>6420</v>
      </c>
      <c r="H148">
        <v>4.5250000000000004</v>
      </c>
      <c r="I148" s="6">
        <v>1</v>
      </c>
      <c r="J148" s="78">
        <v>43585</v>
      </c>
      <c r="K148" s="78"/>
    </row>
    <row r="149" spans="2:11" x14ac:dyDescent="0.25">
      <c r="B149" t="s">
        <v>208</v>
      </c>
      <c r="C149" t="s">
        <v>618</v>
      </c>
      <c r="D149" t="s">
        <v>1227</v>
      </c>
      <c r="E149" t="s">
        <v>208</v>
      </c>
      <c r="F149" t="s">
        <v>208</v>
      </c>
      <c r="G149" s="75">
        <v>6420</v>
      </c>
      <c r="H149">
        <v>4.5250000000000004</v>
      </c>
      <c r="I149" s="6">
        <v>1</v>
      </c>
      <c r="J149" s="78"/>
      <c r="K149" s="78"/>
    </row>
    <row r="150" spans="2:11" x14ac:dyDescent="0.25">
      <c r="B150" t="s">
        <v>208</v>
      </c>
      <c r="C150" t="s">
        <v>618</v>
      </c>
      <c r="D150" t="s">
        <v>1228</v>
      </c>
      <c r="E150" t="s">
        <v>208</v>
      </c>
      <c r="F150" t="s">
        <v>208</v>
      </c>
      <c r="G150" s="75">
        <v>6420</v>
      </c>
      <c r="H150">
        <v>4.5250000000000004</v>
      </c>
      <c r="I150" s="6">
        <v>1</v>
      </c>
      <c r="J150" s="78"/>
      <c r="K150" s="78"/>
    </row>
    <row r="151" spans="2:11" x14ac:dyDescent="0.25">
      <c r="B151" t="s">
        <v>208</v>
      </c>
      <c r="C151" t="s">
        <v>618</v>
      </c>
      <c r="D151" t="s">
        <v>1226</v>
      </c>
      <c r="E151" t="s">
        <v>208</v>
      </c>
      <c r="F151" t="s">
        <v>208</v>
      </c>
      <c r="G151" s="75">
        <v>6420</v>
      </c>
      <c r="H151">
        <v>4.5250000000000004</v>
      </c>
      <c r="I151" s="6">
        <v>1</v>
      </c>
      <c r="J151" s="78"/>
      <c r="K151" s="78"/>
    </row>
    <row r="152" spans="2:11" x14ac:dyDescent="0.25">
      <c r="B152" t="s">
        <v>208</v>
      </c>
      <c r="C152" t="s">
        <v>618</v>
      </c>
      <c r="D152" t="s">
        <v>601</v>
      </c>
      <c r="E152" t="s">
        <v>601</v>
      </c>
      <c r="F152" t="s">
        <v>1226</v>
      </c>
      <c r="G152" s="75">
        <v>6420</v>
      </c>
      <c r="H152">
        <v>4.5250000000000004</v>
      </c>
      <c r="I152" s="6">
        <v>1</v>
      </c>
      <c r="J152" s="78">
        <v>43585</v>
      </c>
      <c r="K152" s="78"/>
    </row>
    <row r="153" spans="2:11" x14ac:dyDescent="0.25">
      <c r="B153" t="s">
        <v>208</v>
      </c>
      <c r="C153" t="s">
        <v>1229</v>
      </c>
      <c r="D153" t="s">
        <v>1229</v>
      </c>
      <c r="E153" t="s">
        <v>1230</v>
      </c>
      <c r="F153" t="s">
        <v>1230</v>
      </c>
      <c r="G153" s="75">
        <v>35</v>
      </c>
      <c r="H153" t="s">
        <v>208</v>
      </c>
      <c r="I153" s="6">
        <v>0</v>
      </c>
      <c r="J153" s="78">
        <v>44123</v>
      </c>
      <c r="K153" s="78"/>
    </row>
    <row r="154" spans="2:11" x14ac:dyDescent="0.25">
      <c r="B154" t="s">
        <v>208</v>
      </c>
      <c r="C154" t="s">
        <v>1229</v>
      </c>
      <c r="D154" t="s">
        <v>988</v>
      </c>
      <c r="E154" t="s">
        <v>1230</v>
      </c>
      <c r="F154" t="s">
        <v>1230</v>
      </c>
      <c r="G154" s="75">
        <v>35</v>
      </c>
      <c r="H154" t="s">
        <v>208</v>
      </c>
      <c r="I154" s="6">
        <v>0</v>
      </c>
      <c r="J154" s="78">
        <v>44123</v>
      </c>
      <c r="K154" s="78"/>
    </row>
    <row r="155" spans="2:11" x14ac:dyDescent="0.25">
      <c r="B155" t="s">
        <v>208</v>
      </c>
      <c r="C155" t="s">
        <v>1229</v>
      </c>
      <c r="D155" t="s">
        <v>1231</v>
      </c>
      <c r="E155" t="s">
        <v>208</v>
      </c>
      <c r="F155" t="s">
        <v>208</v>
      </c>
      <c r="G155" s="75">
        <v>35</v>
      </c>
      <c r="H155" t="s">
        <v>208</v>
      </c>
      <c r="I155" s="6">
        <v>0</v>
      </c>
      <c r="J155" s="78">
        <v>44123</v>
      </c>
      <c r="K155" s="78"/>
    </row>
    <row r="156" spans="2:11" x14ac:dyDescent="0.25">
      <c r="B156" t="s">
        <v>208</v>
      </c>
      <c r="C156" t="s">
        <v>1232</v>
      </c>
      <c r="D156" t="s">
        <v>1232</v>
      </c>
      <c r="E156" t="s">
        <v>1233</v>
      </c>
      <c r="F156" t="s">
        <v>1234</v>
      </c>
      <c r="G156" s="75">
        <v>0</v>
      </c>
      <c r="H156" t="s">
        <v>208</v>
      </c>
      <c r="I156" s="6">
        <v>0</v>
      </c>
      <c r="J156" s="78">
        <v>44862</v>
      </c>
      <c r="K156" s="78"/>
    </row>
    <row r="157" spans="2:11" x14ac:dyDescent="0.25">
      <c r="B157" t="s">
        <v>208</v>
      </c>
      <c r="C157" t="s">
        <v>1235</v>
      </c>
      <c r="D157" t="s">
        <v>1235</v>
      </c>
      <c r="E157" t="s">
        <v>208</v>
      </c>
      <c r="F157" t="s">
        <v>208</v>
      </c>
      <c r="G157" s="75">
        <v>0</v>
      </c>
      <c r="H157" t="s">
        <v>208</v>
      </c>
      <c r="I157" s="6">
        <v>0</v>
      </c>
      <c r="J157" s="78"/>
      <c r="K157" s="78"/>
    </row>
    <row r="158" spans="2:11" x14ac:dyDescent="0.25">
      <c r="B158" t="s">
        <v>208</v>
      </c>
      <c r="C158" t="s">
        <v>1236</v>
      </c>
      <c r="D158" t="s">
        <v>1236</v>
      </c>
      <c r="E158" t="s">
        <v>208</v>
      </c>
      <c r="F158" t="s">
        <v>208</v>
      </c>
      <c r="G158" s="75">
        <v>0</v>
      </c>
      <c r="H158" t="s">
        <v>208</v>
      </c>
      <c r="I158" s="6">
        <v>0</v>
      </c>
      <c r="J158" s="78"/>
      <c r="K158" s="78"/>
    </row>
    <row r="159" spans="2:11" x14ac:dyDescent="0.25">
      <c r="B159" t="s">
        <v>208</v>
      </c>
      <c r="C159" t="s">
        <v>1237</v>
      </c>
      <c r="D159" t="s">
        <v>1237</v>
      </c>
      <c r="E159" t="s">
        <v>1238</v>
      </c>
      <c r="F159" t="s">
        <v>1239</v>
      </c>
      <c r="G159" s="75">
        <v>15428</v>
      </c>
      <c r="H159" t="s">
        <v>208</v>
      </c>
      <c r="I159" s="6">
        <v>0</v>
      </c>
      <c r="J159" s="78" t="s">
        <v>208</v>
      </c>
      <c r="K159" s="78"/>
    </row>
    <row r="160" spans="2:11" x14ac:dyDescent="0.25">
      <c r="B160" t="s">
        <v>208</v>
      </c>
      <c r="C160" t="s">
        <v>1237</v>
      </c>
      <c r="D160" t="s">
        <v>1240</v>
      </c>
      <c r="E160" t="s">
        <v>1240</v>
      </c>
      <c r="F160" t="s">
        <v>1239</v>
      </c>
      <c r="G160" s="75">
        <v>15428</v>
      </c>
      <c r="H160" t="s">
        <v>208</v>
      </c>
      <c r="I160" s="6">
        <v>0</v>
      </c>
      <c r="J160" s="78">
        <v>42807</v>
      </c>
      <c r="K160" s="78"/>
    </row>
    <row r="161" spans="2:11" x14ac:dyDescent="0.25">
      <c r="B161" t="s">
        <v>208</v>
      </c>
      <c r="C161" t="s">
        <v>1241</v>
      </c>
      <c r="D161" t="s">
        <v>1241</v>
      </c>
      <c r="E161" t="s">
        <v>1242</v>
      </c>
      <c r="F161" t="s">
        <v>1243</v>
      </c>
      <c r="G161" s="75">
        <v>116912</v>
      </c>
      <c r="H161">
        <v>4.335</v>
      </c>
      <c r="I161" s="6">
        <v>1</v>
      </c>
      <c r="J161" s="78">
        <v>43434</v>
      </c>
      <c r="K161" s="78"/>
    </row>
    <row r="162" spans="2:11" x14ac:dyDescent="0.25">
      <c r="B162" t="s">
        <v>208</v>
      </c>
      <c r="C162" t="s">
        <v>1241</v>
      </c>
      <c r="D162" t="s">
        <v>1244</v>
      </c>
      <c r="E162" t="s">
        <v>1245</v>
      </c>
      <c r="F162" t="s">
        <v>1245</v>
      </c>
      <c r="G162" s="75">
        <v>116912</v>
      </c>
      <c r="H162">
        <v>4.335</v>
      </c>
      <c r="I162" s="6">
        <v>1</v>
      </c>
      <c r="J162" s="78">
        <v>43434</v>
      </c>
      <c r="K162" s="78"/>
    </row>
    <row r="163" spans="2:11" x14ac:dyDescent="0.25">
      <c r="B163" t="s">
        <v>208</v>
      </c>
      <c r="C163" t="s">
        <v>1241</v>
      </c>
      <c r="D163" t="s">
        <v>1246</v>
      </c>
      <c r="E163" t="s">
        <v>1246</v>
      </c>
      <c r="F163" t="s">
        <v>1247</v>
      </c>
      <c r="G163" s="75">
        <v>116912</v>
      </c>
      <c r="H163">
        <v>4.335</v>
      </c>
      <c r="I163" s="6">
        <v>1</v>
      </c>
      <c r="J163" s="78">
        <v>43434</v>
      </c>
      <c r="K163" s="78"/>
    </row>
    <row r="164" spans="2:11" x14ac:dyDescent="0.25">
      <c r="B164" t="s">
        <v>208</v>
      </c>
      <c r="C164" t="s">
        <v>1241</v>
      </c>
      <c r="D164" t="s">
        <v>1248</v>
      </c>
      <c r="E164" t="s">
        <v>1248</v>
      </c>
      <c r="F164" t="s">
        <v>1249</v>
      </c>
      <c r="G164" s="75">
        <v>116912</v>
      </c>
      <c r="H164">
        <v>4.335</v>
      </c>
      <c r="I164" s="6">
        <v>1</v>
      </c>
      <c r="J164" s="78">
        <v>43434</v>
      </c>
      <c r="K164" s="78"/>
    </row>
    <row r="165" spans="2:11" x14ac:dyDescent="0.25">
      <c r="B165" t="s">
        <v>208</v>
      </c>
      <c r="C165" t="s">
        <v>1241</v>
      </c>
      <c r="D165" t="s">
        <v>1250</v>
      </c>
      <c r="E165" t="s">
        <v>1250</v>
      </c>
      <c r="F165" t="s">
        <v>1250</v>
      </c>
      <c r="G165" s="75">
        <v>116912</v>
      </c>
      <c r="H165">
        <v>4.335</v>
      </c>
      <c r="I165" s="6">
        <v>1</v>
      </c>
      <c r="J165" s="78">
        <v>43434</v>
      </c>
      <c r="K165" s="78"/>
    </row>
    <row r="166" spans="2:11" x14ac:dyDescent="0.25">
      <c r="B166" t="s">
        <v>208</v>
      </c>
      <c r="C166" t="s">
        <v>1251</v>
      </c>
      <c r="D166" t="s">
        <v>1251</v>
      </c>
      <c r="E166" t="s">
        <v>208</v>
      </c>
      <c r="F166" t="s">
        <v>208</v>
      </c>
      <c r="G166" s="75">
        <v>0</v>
      </c>
      <c r="H166">
        <v>2.7330000000000001</v>
      </c>
      <c r="I166" s="6">
        <v>1</v>
      </c>
      <c r="J166" s="78">
        <v>44782</v>
      </c>
      <c r="K166" s="78"/>
    </row>
    <row r="167" spans="2:11" x14ac:dyDescent="0.25">
      <c r="B167" t="s">
        <v>208</v>
      </c>
      <c r="C167" t="s">
        <v>1251</v>
      </c>
      <c r="D167" t="s">
        <v>965</v>
      </c>
      <c r="E167" t="s">
        <v>965</v>
      </c>
      <c r="F167" t="s">
        <v>1252</v>
      </c>
      <c r="G167" s="75">
        <v>0</v>
      </c>
      <c r="H167">
        <v>2.7330000000000001</v>
      </c>
      <c r="I167" s="6">
        <v>1</v>
      </c>
      <c r="J167" s="78">
        <v>44782</v>
      </c>
      <c r="K167" s="78"/>
    </row>
    <row r="168" spans="2:11" x14ac:dyDescent="0.25">
      <c r="B168" t="s">
        <v>208</v>
      </c>
      <c r="C168" t="s">
        <v>1253</v>
      </c>
      <c r="D168" t="s">
        <v>1253</v>
      </c>
      <c r="E168" t="s">
        <v>208</v>
      </c>
      <c r="F168" t="s">
        <v>208</v>
      </c>
      <c r="G168" s="75">
        <v>1342806</v>
      </c>
      <c r="H168">
        <v>0.53900000000000003</v>
      </c>
      <c r="I168" s="6">
        <v>5</v>
      </c>
      <c r="J168" s="78" t="s">
        <v>208</v>
      </c>
      <c r="K168" s="78"/>
    </row>
    <row r="169" spans="2:11" x14ac:dyDescent="0.25">
      <c r="B169" t="s">
        <v>1128</v>
      </c>
      <c r="C169" t="s">
        <v>1253</v>
      </c>
      <c r="D169" t="s">
        <v>633</v>
      </c>
      <c r="E169" t="s">
        <v>990</v>
      </c>
      <c r="F169" t="s">
        <v>990</v>
      </c>
      <c r="G169" s="75">
        <v>1342806</v>
      </c>
      <c r="H169">
        <v>0.53900000000000003</v>
      </c>
      <c r="I169" s="6">
        <v>5</v>
      </c>
      <c r="J169" s="78">
        <v>36896</v>
      </c>
      <c r="K169" s="78"/>
    </row>
    <row r="170" spans="2:11" x14ac:dyDescent="0.25">
      <c r="B170" t="s">
        <v>208</v>
      </c>
      <c r="C170" t="s">
        <v>1253</v>
      </c>
      <c r="D170" t="s">
        <v>1254</v>
      </c>
      <c r="E170" t="s">
        <v>208</v>
      </c>
      <c r="F170" t="s">
        <v>208</v>
      </c>
      <c r="G170" s="75">
        <v>1342806</v>
      </c>
      <c r="H170">
        <v>0.53900000000000003</v>
      </c>
      <c r="I170" s="6">
        <v>5</v>
      </c>
      <c r="J170" s="78" t="s">
        <v>208</v>
      </c>
      <c r="K170" s="78"/>
    </row>
    <row r="171" spans="2:11" x14ac:dyDescent="0.25">
      <c r="B171" t="s">
        <v>208</v>
      </c>
      <c r="C171" t="s">
        <v>1253</v>
      </c>
      <c r="D171" t="s">
        <v>1255</v>
      </c>
      <c r="E171" t="s">
        <v>208</v>
      </c>
      <c r="F171" t="s">
        <v>208</v>
      </c>
      <c r="G171" s="75">
        <v>1342806</v>
      </c>
      <c r="H171">
        <v>0.53900000000000003</v>
      </c>
      <c r="I171" s="6">
        <v>5</v>
      </c>
      <c r="J171" s="78" t="s">
        <v>208</v>
      </c>
      <c r="K171" s="78"/>
    </row>
    <row r="172" spans="2:11" x14ac:dyDescent="0.25">
      <c r="B172" t="s">
        <v>208</v>
      </c>
      <c r="C172" t="s">
        <v>1256</v>
      </c>
      <c r="D172" t="s">
        <v>1256</v>
      </c>
      <c r="E172" t="s">
        <v>208</v>
      </c>
      <c r="F172" t="s">
        <v>208</v>
      </c>
      <c r="G172" s="75">
        <v>0</v>
      </c>
      <c r="H172" t="s">
        <v>208</v>
      </c>
      <c r="I172" s="6">
        <v>0</v>
      </c>
      <c r="J172" s="78" t="s">
        <v>208</v>
      </c>
      <c r="K172" s="78"/>
    </row>
    <row r="173" spans="2:11" x14ac:dyDescent="0.25">
      <c r="B173" t="s">
        <v>208</v>
      </c>
      <c r="C173" t="s">
        <v>1256</v>
      </c>
      <c r="D173" t="s">
        <v>1257</v>
      </c>
      <c r="E173" t="s">
        <v>208</v>
      </c>
      <c r="F173" t="s">
        <v>208</v>
      </c>
      <c r="G173" s="75">
        <v>0</v>
      </c>
      <c r="H173" t="s">
        <v>208</v>
      </c>
      <c r="I173" s="6">
        <v>0</v>
      </c>
      <c r="J173" s="78"/>
      <c r="K173" s="78"/>
    </row>
    <row r="174" spans="2:11" x14ac:dyDescent="0.25">
      <c r="B174" t="s">
        <v>208</v>
      </c>
      <c r="C174" t="s">
        <v>1258</v>
      </c>
      <c r="D174" t="s">
        <v>1258</v>
      </c>
      <c r="E174" t="s">
        <v>208</v>
      </c>
      <c r="F174" t="s">
        <v>208</v>
      </c>
      <c r="G174" s="75">
        <v>0</v>
      </c>
      <c r="H174" t="s">
        <v>208</v>
      </c>
      <c r="I174" s="6">
        <v>0</v>
      </c>
      <c r="J174" s="78">
        <v>39729</v>
      </c>
      <c r="K174" s="78"/>
    </row>
    <row r="175" spans="2:11" x14ac:dyDescent="0.25">
      <c r="B175" t="s">
        <v>1157</v>
      </c>
      <c r="C175" t="s">
        <v>1258</v>
      </c>
      <c r="D175" t="s">
        <v>476</v>
      </c>
      <c r="E175" t="s">
        <v>476</v>
      </c>
      <c r="F175" t="s">
        <v>1259</v>
      </c>
      <c r="G175" s="75">
        <v>0</v>
      </c>
      <c r="H175" t="s">
        <v>208</v>
      </c>
      <c r="I175" s="6">
        <v>0</v>
      </c>
      <c r="J175" s="78">
        <v>39729</v>
      </c>
      <c r="K175" s="78"/>
    </row>
    <row r="176" spans="2:11" x14ac:dyDescent="0.25">
      <c r="B176" t="s">
        <v>1157</v>
      </c>
      <c r="C176" t="s">
        <v>1258</v>
      </c>
      <c r="D176" t="s">
        <v>520</v>
      </c>
      <c r="E176" t="s">
        <v>977</v>
      </c>
      <c r="F176" t="s">
        <v>1260</v>
      </c>
      <c r="G176" s="75">
        <v>0</v>
      </c>
      <c r="H176" t="s">
        <v>208</v>
      </c>
      <c r="I176" s="6">
        <v>0</v>
      </c>
      <c r="J176" s="78">
        <v>39729</v>
      </c>
      <c r="K176" s="78"/>
    </row>
    <row r="177" spans="2:11" x14ac:dyDescent="0.25">
      <c r="B177" t="s">
        <v>208</v>
      </c>
      <c r="C177" t="s">
        <v>645</v>
      </c>
      <c r="D177" t="s">
        <v>645</v>
      </c>
      <c r="E177" t="s">
        <v>1261</v>
      </c>
      <c r="F177" t="s">
        <v>1262</v>
      </c>
      <c r="G177" s="75">
        <v>0</v>
      </c>
      <c r="H177">
        <v>0.123</v>
      </c>
      <c r="I177" s="6">
        <v>5</v>
      </c>
      <c r="J177" s="78">
        <v>44560</v>
      </c>
      <c r="K177" s="78"/>
    </row>
    <row r="178" spans="2:11" x14ac:dyDescent="0.25">
      <c r="B178" t="s">
        <v>208</v>
      </c>
      <c r="C178" t="s">
        <v>645</v>
      </c>
      <c r="D178" t="s">
        <v>552</v>
      </c>
      <c r="E178" t="s">
        <v>982</v>
      </c>
      <c r="F178" t="s">
        <v>1263</v>
      </c>
      <c r="G178" s="75">
        <v>0</v>
      </c>
      <c r="H178">
        <v>0.123</v>
      </c>
      <c r="I178" s="6">
        <v>5</v>
      </c>
      <c r="J178" s="78">
        <v>44560</v>
      </c>
      <c r="K178" s="78"/>
    </row>
    <row r="179" spans="2:11" x14ac:dyDescent="0.25">
      <c r="B179" t="s">
        <v>208</v>
      </c>
      <c r="C179" t="s">
        <v>645</v>
      </c>
      <c r="D179" t="s">
        <v>1264</v>
      </c>
      <c r="E179" t="s">
        <v>208</v>
      </c>
      <c r="F179" t="s">
        <v>208</v>
      </c>
      <c r="G179" s="75">
        <v>0</v>
      </c>
      <c r="H179">
        <v>0.123</v>
      </c>
      <c r="I179" s="6">
        <v>5</v>
      </c>
      <c r="J179" s="78">
        <v>44560</v>
      </c>
      <c r="K179" s="78"/>
    </row>
    <row r="180" spans="2:11" x14ac:dyDescent="0.25">
      <c r="B180" t="s">
        <v>208</v>
      </c>
      <c r="C180" t="s">
        <v>1265</v>
      </c>
      <c r="D180" t="s">
        <v>1265</v>
      </c>
      <c r="E180" t="s">
        <v>208</v>
      </c>
      <c r="F180" t="s">
        <v>208</v>
      </c>
      <c r="G180" s="75">
        <v>36702</v>
      </c>
      <c r="H180">
        <v>1.5649999999999999</v>
      </c>
      <c r="I180" s="6">
        <v>3</v>
      </c>
      <c r="J180" s="78">
        <v>44125</v>
      </c>
      <c r="K180" s="78"/>
    </row>
    <row r="181" spans="2:11" x14ac:dyDescent="0.25">
      <c r="B181" t="s">
        <v>208</v>
      </c>
      <c r="C181" t="s">
        <v>1265</v>
      </c>
      <c r="D181" t="s">
        <v>505</v>
      </c>
      <c r="E181" t="s">
        <v>505</v>
      </c>
      <c r="F181" t="s">
        <v>505</v>
      </c>
      <c r="G181" s="75">
        <v>36702</v>
      </c>
      <c r="H181">
        <v>1.5649999999999999</v>
      </c>
      <c r="I181" s="6">
        <v>3</v>
      </c>
      <c r="J181" s="78">
        <v>44125</v>
      </c>
      <c r="K181" s="78"/>
    </row>
    <row r="182" spans="2:11" x14ac:dyDescent="0.25">
      <c r="B182" t="s">
        <v>208</v>
      </c>
      <c r="C182" t="s">
        <v>1265</v>
      </c>
      <c r="D182" t="s">
        <v>992</v>
      </c>
      <c r="E182" t="s">
        <v>992</v>
      </c>
      <c r="F182" t="s">
        <v>992</v>
      </c>
      <c r="G182" s="75">
        <v>36702</v>
      </c>
      <c r="H182">
        <v>1.5649999999999999</v>
      </c>
      <c r="I182" s="6">
        <v>3</v>
      </c>
      <c r="J182" s="78">
        <v>44125</v>
      </c>
      <c r="K182" s="78"/>
    </row>
    <row r="183" spans="2:11" x14ac:dyDescent="0.25">
      <c r="B183" t="s">
        <v>208</v>
      </c>
      <c r="C183" t="s">
        <v>1265</v>
      </c>
      <c r="D183" t="s">
        <v>1266</v>
      </c>
      <c r="E183" t="s">
        <v>208</v>
      </c>
      <c r="F183" t="s">
        <v>208</v>
      </c>
      <c r="G183" s="75">
        <v>36702</v>
      </c>
      <c r="H183">
        <v>1.5649999999999999</v>
      </c>
      <c r="I183" s="6">
        <v>3</v>
      </c>
      <c r="J183" s="78"/>
      <c r="K183" s="78"/>
    </row>
    <row r="184" spans="2:11" x14ac:dyDescent="0.25">
      <c r="B184" t="s">
        <v>208</v>
      </c>
      <c r="C184" t="s">
        <v>675</v>
      </c>
      <c r="D184" t="s">
        <v>675</v>
      </c>
      <c r="E184" t="s">
        <v>1267</v>
      </c>
      <c r="F184" t="s">
        <v>1268</v>
      </c>
      <c r="G184" s="75">
        <v>0</v>
      </c>
      <c r="H184" t="s">
        <v>208</v>
      </c>
      <c r="I184" s="6">
        <v>0</v>
      </c>
      <c r="J184" s="78">
        <v>42921</v>
      </c>
      <c r="K184" s="78"/>
    </row>
    <row r="185" spans="2:11" x14ac:dyDescent="0.25">
      <c r="B185" t="s">
        <v>208</v>
      </c>
      <c r="C185" t="s">
        <v>1269</v>
      </c>
      <c r="D185" t="s">
        <v>1269</v>
      </c>
      <c r="E185" t="s">
        <v>1270</v>
      </c>
      <c r="F185" t="s">
        <v>1271</v>
      </c>
      <c r="G185" s="75">
        <v>8</v>
      </c>
      <c r="H185" t="s">
        <v>208</v>
      </c>
      <c r="I185" s="6">
        <v>0</v>
      </c>
      <c r="J185" s="78">
        <v>43108</v>
      </c>
      <c r="K185" s="78"/>
    </row>
    <row r="186" spans="2:11" x14ac:dyDescent="0.25">
      <c r="B186" t="s">
        <v>208</v>
      </c>
      <c r="C186" t="s">
        <v>1272</v>
      </c>
      <c r="D186" t="s">
        <v>1272</v>
      </c>
      <c r="E186" t="s">
        <v>208</v>
      </c>
      <c r="F186" t="s">
        <v>208</v>
      </c>
      <c r="G186" s="75">
        <v>0</v>
      </c>
      <c r="H186" t="s">
        <v>208</v>
      </c>
      <c r="I186" s="6">
        <v>0</v>
      </c>
      <c r="J186" s="78"/>
      <c r="K186" s="78"/>
    </row>
    <row r="187" spans="2:11" x14ac:dyDescent="0.25">
      <c r="B187" t="s">
        <v>1273</v>
      </c>
      <c r="C187" t="s">
        <v>681</v>
      </c>
      <c r="D187" t="s">
        <v>681</v>
      </c>
      <c r="E187" t="s">
        <v>1274</v>
      </c>
      <c r="F187" t="s">
        <v>1275</v>
      </c>
      <c r="G187" s="75">
        <v>11110</v>
      </c>
      <c r="H187">
        <v>1.694</v>
      </c>
      <c r="I187" s="6">
        <v>2</v>
      </c>
      <c r="J187" s="78">
        <v>43607</v>
      </c>
      <c r="K187" s="78"/>
    </row>
    <row r="188" spans="2:11" x14ac:dyDescent="0.25">
      <c r="B188" t="s">
        <v>1273</v>
      </c>
      <c r="C188" t="s">
        <v>681</v>
      </c>
      <c r="D188" t="s">
        <v>632</v>
      </c>
      <c r="E188" t="s">
        <v>632</v>
      </c>
      <c r="F188" t="s">
        <v>1276</v>
      </c>
      <c r="G188" s="75">
        <v>11110</v>
      </c>
      <c r="H188">
        <v>1.694</v>
      </c>
      <c r="I188" s="6">
        <v>2</v>
      </c>
      <c r="J188" s="78">
        <v>43607</v>
      </c>
      <c r="K188" s="78"/>
    </row>
    <row r="189" spans="2:11" x14ac:dyDescent="0.25">
      <c r="B189" t="s">
        <v>208</v>
      </c>
      <c r="C189" t="s">
        <v>681</v>
      </c>
      <c r="D189" t="s">
        <v>1277</v>
      </c>
      <c r="E189" t="s">
        <v>208</v>
      </c>
      <c r="F189" t="s">
        <v>208</v>
      </c>
      <c r="G189" s="75">
        <v>11110</v>
      </c>
      <c r="H189">
        <v>1.694</v>
      </c>
      <c r="I189" s="6">
        <v>2</v>
      </c>
      <c r="J189" s="78">
        <v>43607</v>
      </c>
      <c r="K189" s="78"/>
    </row>
    <row r="190" spans="2:11" x14ac:dyDescent="0.25">
      <c r="B190" t="s">
        <v>1278</v>
      </c>
      <c r="C190" t="s">
        <v>682</v>
      </c>
      <c r="D190" t="s">
        <v>682</v>
      </c>
      <c r="E190" t="s">
        <v>1279</v>
      </c>
      <c r="F190" t="s">
        <v>1280</v>
      </c>
      <c r="G190" s="75">
        <v>46192</v>
      </c>
      <c r="H190">
        <v>1.159</v>
      </c>
      <c r="I190" s="6">
        <v>4</v>
      </c>
      <c r="J190" s="78">
        <v>37368</v>
      </c>
      <c r="K190" s="78"/>
    </row>
    <row r="191" spans="2:11" x14ac:dyDescent="0.25">
      <c r="B191" t="s">
        <v>208</v>
      </c>
      <c r="C191" t="s">
        <v>1281</v>
      </c>
      <c r="D191" t="s">
        <v>1281</v>
      </c>
      <c r="E191" t="s">
        <v>1282</v>
      </c>
      <c r="F191" t="s">
        <v>1283</v>
      </c>
      <c r="G191" s="75">
        <v>107</v>
      </c>
      <c r="H191" t="s">
        <v>208</v>
      </c>
      <c r="I191" s="6">
        <v>0</v>
      </c>
      <c r="J191" s="78">
        <v>40722</v>
      </c>
      <c r="K191" s="78"/>
    </row>
    <row r="192" spans="2:11" x14ac:dyDescent="0.25">
      <c r="B192" t="s">
        <v>208</v>
      </c>
      <c r="C192" t="s">
        <v>1284</v>
      </c>
      <c r="D192" t="s">
        <v>1284</v>
      </c>
      <c r="E192" t="s">
        <v>208</v>
      </c>
      <c r="F192" t="s">
        <v>208</v>
      </c>
      <c r="G192" s="75">
        <v>223744</v>
      </c>
      <c r="H192" t="s">
        <v>208</v>
      </c>
      <c r="I192" s="6">
        <v>0</v>
      </c>
      <c r="J192" s="78" t="s">
        <v>208</v>
      </c>
      <c r="K192" s="78"/>
    </row>
    <row r="193" spans="2:11" x14ac:dyDescent="0.25">
      <c r="B193" t="s">
        <v>208</v>
      </c>
      <c r="C193" t="s">
        <v>1284</v>
      </c>
      <c r="D193" t="s">
        <v>1285</v>
      </c>
      <c r="E193" t="s">
        <v>208</v>
      </c>
      <c r="F193" t="s">
        <v>208</v>
      </c>
      <c r="G193" s="75">
        <v>223744</v>
      </c>
      <c r="H193" t="s">
        <v>208</v>
      </c>
      <c r="I193" s="6">
        <v>0</v>
      </c>
      <c r="J193" s="78" t="s">
        <v>208</v>
      </c>
      <c r="K193" s="78"/>
    </row>
    <row r="194" spans="2:11" x14ac:dyDescent="0.25">
      <c r="B194" t="s">
        <v>208</v>
      </c>
      <c r="C194" t="s">
        <v>1284</v>
      </c>
      <c r="D194" t="s">
        <v>1286</v>
      </c>
      <c r="E194" t="s">
        <v>1287</v>
      </c>
      <c r="F194" t="s">
        <v>1288</v>
      </c>
      <c r="G194" s="75">
        <v>223744</v>
      </c>
      <c r="H194" t="s">
        <v>208</v>
      </c>
      <c r="I194" s="6">
        <v>0</v>
      </c>
      <c r="J194" s="78">
        <v>38373</v>
      </c>
      <c r="K194" s="78"/>
    </row>
    <row r="195" spans="2:11" x14ac:dyDescent="0.25">
      <c r="B195" t="s">
        <v>208</v>
      </c>
      <c r="C195" t="s">
        <v>1289</v>
      </c>
      <c r="D195" t="s">
        <v>1289</v>
      </c>
      <c r="E195" t="s">
        <v>1290</v>
      </c>
      <c r="F195" t="s">
        <v>1291</v>
      </c>
      <c r="G195" s="75">
        <v>24055</v>
      </c>
      <c r="H195">
        <v>0.78800000000000003</v>
      </c>
      <c r="I195" s="6">
        <v>4</v>
      </c>
      <c r="J195" s="78">
        <v>40815</v>
      </c>
      <c r="K195" s="78"/>
    </row>
    <row r="196" spans="2:11" x14ac:dyDescent="0.25">
      <c r="B196" t="s">
        <v>208</v>
      </c>
      <c r="C196" t="s">
        <v>1289</v>
      </c>
      <c r="D196" t="s">
        <v>1292</v>
      </c>
      <c r="E196" t="s">
        <v>208</v>
      </c>
      <c r="F196" t="s">
        <v>208</v>
      </c>
      <c r="G196" s="75">
        <v>24055</v>
      </c>
      <c r="H196">
        <v>0.78800000000000003</v>
      </c>
      <c r="I196" s="6">
        <v>4</v>
      </c>
      <c r="J196" s="78" t="s">
        <v>208</v>
      </c>
      <c r="K196" s="78"/>
    </row>
    <row r="197" spans="2:11" x14ac:dyDescent="0.25">
      <c r="B197" t="s">
        <v>208</v>
      </c>
      <c r="C197" t="s">
        <v>1289</v>
      </c>
      <c r="D197" t="s">
        <v>1293</v>
      </c>
      <c r="E197" t="s">
        <v>1294</v>
      </c>
      <c r="F197" t="s">
        <v>1295</v>
      </c>
      <c r="G197" s="75">
        <v>24055</v>
      </c>
      <c r="H197">
        <v>0.78800000000000003</v>
      </c>
      <c r="I197" s="6">
        <v>4</v>
      </c>
      <c r="J197" s="78">
        <v>40815</v>
      </c>
      <c r="K197" s="78"/>
    </row>
    <row r="198" spans="2:11" x14ac:dyDescent="0.25">
      <c r="B198" t="s">
        <v>208</v>
      </c>
      <c r="C198" t="s">
        <v>1296</v>
      </c>
      <c r="D198" t="s">
        <v>1296</v>
      </c>
      <c r="E198" t="s">
        <v>208</v>
      </c>
      <c r="F198" t="s">
        <v>208</v>
      </c>
      <c r="G198" s="75">
        <v>215</v>
      </c>
      <c r="H198">
        <v>1.806</v>
      </c>
      <c r="I198" s="6">
        <v>2</v>
      </c>
      <c r="J198" s="78" t="s">
        <v>208</v>
      </c>
      <c r="K198" s="78"/>
    </row>
    <row r="199" spans="2:11" x14ac:dyDescent="0.25">
      <c r="B199" t="s">
        <v>208</v>
      </c>
      <c r="C199" t="s">
        <v>1296</v>
      </c>
      <c r="D199" t="s">
        <v>1297</v>
      </c>
      <c r="E199" t="s">
        <v>1298</v>
      </c>
      <c r="F199" t="s">
        <v>1299</v>
      </c>
      <c r="G199" s="75">
        <v>215</v>
      </c>
      <c r="H199">
        <v>1.806</v>
      </c>
      <c r="I199" s="6">
        <v>2</v>
      </c>
      <c r="J199" s="78">
        <v>37327</v>
      </c>
      <c r="K199" s="78"/>
    </row>
    <row r="200" spans="2:11" x14ac:dyDescent="0.25">
      <c r="B200" t="s">
        <v>1152</v>
      </c>
      <c r="C200" t="s">
        <v>1296</v>
      </c>
      <c r="D200" t="s">
        <v>704</v>
      </c>
      <c r="E200" t="s">
        <v>996</v>
      </c>
      <c r="F200" t="s">
        <v>1300</v>
      </c>
      <c r="G200" s="75">
        <v>215</v>
      </c>
      <c r="H200">
        <v>1.806</v>
      </c>
      <c r="I200" s="6">
        <v>2</v>
      </c>
      <c r="J200" s="78">
        <v>37327</v>
      </c>
      <c r="K200" s="78"/>
    </row>
    <row r="201" spans="2:11" x14ac:dyDescent="0.25">
      <c r="B201" t="s">
        <v>208</v>
      </c>
      <c r="C201" t="s">
        <v>1301</v>
      </c>
      <c r="D201" t="s">
        <v>1301</v>
      </c>
      <c r="E201" t="s">
        <v>208</v>
      </c>
      <c r="F201" t="s">
        <v>208</v>
      </c>
      <c r="G201" s="75">
        <v>0</v>
      </c>
      <c r="H201" t="s">
        <v>208</v>
      </c>
      <c r="I201" s="6">
        <v>0</v>
      </c>
      <c r="J201" s="78"/>
      <c r="K201" s="78"/>
    </row>
    <row r="202" spans="2:11" x14ac:dyDescent="0.25">
      <c r="B202" t="s">
        <v>208</v>
      </c>
      <c r="C202" t="s">
        <v>1301</v>
      </c>
      <c r="D202" t="s">
        <v>1302</v>
      </c>
      <c r="E202" t="s">
        <v>1303</v>
      </c>
      <c r="F202" t="s">
        <v>1303</v>
      </c>
      <c r="G202" s="75">
        <v>0</v>
      </c>
      <c r="H202" t="s">
        <v>208</v>
      </c>
      <c r="I202" s="6">
        <v>0</v>
      </c>
      <c r="J202" s="78"/>
      <c r="K202" s="78"/>
    </row>
    <row r="203" spans="2:11" x14ac:dyDescent="0.25">
      <c r="B203" t="s">
        <v>208</v>
      </c>
      <c r="C203" t="s">
        <v>1304</v>
      </c>
      <c r="D203" t="s">
        <v>1304</v>
      </c>
      <c r="E203" t="s">
        <v>208</v>
      </c>
      <c r="F203" t="s">
        <v>208</v>
      </c>
      <c r="G203" s="75">
        <v>0</v>
      </c>
      <c r="H203" t="s">
        <v>208</v>
      </c>
      <c r="I203" s="6">
        <v>0</v>
      </c>
      <c r="J203" s="78"/>
      <c r="K203" s="78"/>
    </row>
    <row r="204" spans="2:11" x14ac:dyDescent="0.25">
      <c r="B204" t="s">
        <v>1278</v>
      </c>
      <c r="C204" t="s">
        <v>728</v>
      </c>
      <c r="D204" t="s">
        <v>728</v>
      </c>
      <c r="E204" t="s">
        <v>1305</v>
      </c>
      <c r="F204" t="s">
        <v>1306</v>
      </c>
      <c r="G204" s="75">
        <v>0</v>
      </c>
      <c r="H204" t="s">
        <v>208</v>
      </c>
      <c r="I204" s="6">
        <v>0</v>
      </c>
      <c r="J204" s="78">
        <v>44140</v>
      </c>
      <c r="K204" s="78"/>
    </row>
    <row r="205" spans="2:11" x14ac:dyDescent="0.25">
      <c r="B205" t="s">
        <v>208</v>
      </c>
      <c r="C205" t="s">
        <v>1307</v>
      </c>
      <c r="D205" t="s">
        <v>1307</v>
      </c>
      <c r="E205" t="s">
        <v>1308</v>
      </c>
      <c r="F205" t="s">
        <v>1309</v>
      </c>
      <c r="G205" s="75">
        <v>0</v>
      </c>
      <c r="H205" t="s">
        <v>208</v>
      </c>
      <c r="I205" s="6">
        <v>0</v>
      </c>
      <c r="J205" s="78" t="s">
        <v>208</v>
      </c>
      <c r="K205" s="78"/>
    </row>
    <row r="206" spans="2:11" x14ac:dyDescent="0.25">
      <c r="B206" t="s">
        <v>208</v>
      </c>
      <c r="C206" t="s">
        <v>1310</v>
      </c>
      <c r="D206" t="s">
        <v>1310</v>
      </c>
      <c r="E206" t="s">
        <v>208</v>
      </c>
      <c r="F206" t="s">
        <v>208</v>
      </c>
      <c r="G206" s="75">
        <v>58681</v>
      </c>
      <c r="H206" t="s">
        <v>208</v>
      </c>
      <c r="I206" s="6">
        <v>0</v>
      </c>
      <c r="J206" s="78" t="s">
        <v>208</v>
      </c>
      <c r="K206" s="78"/>
    </row>
    <row r="207" spans="2:11" x14ac:dyDescent="0.25">
      <c r="B207" t="s">
        <v>208</v>
      </c>
      <c r="C207" t="s">
        <v>1310</v>
      </c>
      <c r="D207" t="s">
        <v>1311</v>
      </c>
      <c r="E207" t="s">
        <v>208</v>
      </c>
      <c r="F207" t="s">
        <v>208</v>
      </c>
      <c r="G207" s="75">
        <v>58681</v>
      </c>
      <c r="H207" t="s">
        <v>208</v>
      </c>
      <c r="I207" s="6">
        <v>0</v>
      </c>
      <c r="J207" s="78" t="s">
        <v>208</v>
      </c>
      <c r="K207" s="78"/>
    </row>
    <row r="208" spans="2:11" x14ac:dyDescent="0.25">
      <c r="B208" t="s">
        <v>208</v>
      </c>
      <c r="C208" t="s">
        <v>1310</v>
      </c>
      <c r="D208" t="s">
        <v>1312</v>
      </c>
      <c r="E208" t="s">
        <v>1313</v>
      </c>
      <c r="F208" t="s">
        <v>1314</v>
      </c>
      <c r="G208" s="75">
        <v>58681</v>
      </c>
      <c r="H208" t="s">
        <v>208</v>
      </c>
      <c r="I208" s="6">
        <v>0</v>
      </c>
      <c r="J208" s="78">
        <v>38881</v>
      </c>
      <c r="K208" s="78"/>
    </row>
    <row r="209" spans="2:11" x14ac:dyDescent="0.25">
      <c r="B209" t="s">
        <v>208</v>
      </c>
      <c r="C209" t="s">
        <v>1310</v>
      </c>
      <c r="D209" t="s">
        <v>1315</v>
      </c>
      <c r="E209" t="s">
        <v>1316</v>
      </c>
      <c r="F209" t="s">
        <v>1317</v>
      </c>
      <c r="G209" s="75">
        <v>58681</v>
      </c>
      <c r="H209" t="s">
        <v>208</v>
      </c>
      <c r="I209" s="6">
        <v>0</v>
      </c>
      <c r="J209" s="78">
        <v>38881</v>
      </c>
      <c r="K209" s="78"/>
    </row>
    <row r="210" spans="2:11" x14ac:dyDescent="0.25">
      <c r="B210" t="s">
        <v>208</v>
      </c>
      <c r="C210" t="s">
        <v>1310</v>
      </c>
      <c r="D210" t="s">
        <v>1318</v>
      </c>
      <c r="E210" t="s">
        <v>1319</v>
      </c>
      <c r="F210" t="s">
        <v>1320</v>
      </c>
      <c r="G210" s="75">
        <v>58681</v>
      </c>
      <c r="H210" t="s">
        <v>208</v>
      </c>
      <c r="I210" s="6">
        <v>0</v>
      </c>
      <c r="J210" s="78">
        <v>38881</v>
      </c>
      <c r="K210" s="78"/>
    </row>
    <row r="211" spans="2:11" x14ac:dyDescent="0.25">
      <c r="B211" t="s">
        <v>208</v>
      </c>
      <c r="C211" t="s">
        <v>1310</v>
      </c>
      <c r="D211" t="s">
        <v>1321</v>
      </c>
      <c r="E211" t="s">
        <v>1321</v>
      </c>
      <c r="F211" t="s">
        <v>1321</v>
      </c>
      <c r="G211" s="75">
        <v>58681</v>
      </c>
      <c r="H211" t="s">
        <v>208</v>
      </c>
      <c r="I211" s="6">
        <v>0</v>
      </c>
      <c r="J211" s="78">
        <v>38881</v>
      </c>
      <c r="K211" s="78"/>
    </row>
    <row r="212" spans="2:11" x14ac:dyDescent="0.25">
      <c r="B212" t="s">
        <v>208</v>
      </c>
      <c r="C212" t="s">
        <v>1322</v>
      </c>
      <c r="D212" t="s">
        <v>1322</v>
      </c>
      <c r="E212" t="s">
        <v>1323</v>
      </c>
      <c r="F212" t="s">
        <v>1324</v>
      </c>
      <c r="G212" s="75">
        <v>0</v>
      </c>
      <c r="H212">
        <v>0.73699999999999999</v>
      </c>
      <c r="I212" s="6">
        <v>4</v>
      </c>
      <c r="J212" s="78">
        <v>43776</v>
      </c>
      <c r="K212" s="78"/>
    </row>
    <row r="213" spans="2:11" x14ac:dyDescent="0.25">
      <c r="B213" t="s">
        <v>208</v>
      </c>
      <c r="C213" t="s">
        <v>1322</v>
      </c>
      <c r="D213" t="s">
        <v>469</v>
      </c>
      <c r="E213" t="s">
        <v>469</v>
      </c>
      <c r="F213" t="s">
        <v>1325</v>
      </c>
      <c r="G213" s="75">
        <v>0</v>
      </c>
      <c r="H213">
        <v>0.73699999999999999</v>
      </c>
      <c r="I213" s="6">
        <v>4</v>
      </c>
      <c r="J213" s="78">
        <v>43776</v>
      </c>
      <c r="K213" s="78"/>
    </row>
    <row r="214" spans="2:11" x14ac:dyDescent="0.25">
      <c r="B214" t="s">
        <v>208</v>
      </c>
      <c r="C214" t="s">
        <v>1322</v>
      </c>
      <c r="D214" t="s">
        <v>1326</v>
      </c>
      <c r="E214" t="s">
        <v>208</v>
      </c>
      <c r="F214" t="s">
        <v>208</v>
      </c>
      <c r="G214" s="75">
        <v>0</v>
      </c>
      <c r="H214">
        <v>0.73699999999999999</v>
      </c>
      <c r="I214" s="6">
        <v>4</v>
      </c>
      <c r="J214" s="78">
        <v>43776</v>
      </c>
      <c r="K214" s="78"/>
    </row>
    <row r="215" spans="2:11" x14ac:dyDescent="0.25">
      <c r="B215" t="s">
        <v>208</v>
      </c>
      <c r="C215" t="s">
        <v>1327</v>
      </c>
      <c r="D215" t="s">
        <v>1327</v>
      </c>
      <c r="E215" t="s">
        <v>1328</v>
      </c>
      <c r="F215" t="s">
        <v>1329</v>
      </c>
      <c r="G215" s="75">
        <v>1641</v>
      </c>
      <c r="H215" t="s">
        <v>208</v>
      </c>
      <c r="I215" s="6">
        <v>0</v>
      </c>
      <c r="J215" s="78">
        <v>43776</v>
      </c>
      <c r="K215" s="78"/>
    </row>
    <row r="216" spans="2:11" x14ac:dyDescent="0.25">
      <c r="B216" t="s">
        <v>208</v>
      </c>
      <c r="C216" t="s">
        <v>1330</v>
      </c>
      <c r="D216" t="s">
        <v>1330</v>
      </c>
      <c r="E216" t="s">
        <v>208</v>
      </c>
      <c r="F216" t="s">
        <v>208</v>
      </c>
      <c r="G216" s="75">
        <v>0</v>
      </c>
      <c r="H216" t="s">
        <v>208</v>
      </c>
      <c r="I216" s="6">
        <v>0</v>
      </c>
      <c r="J216" s="78"/>
      <c r="K216" s="78"/>
    </row>
    <row r="217" spans="2:11" x14ac:dyDescent="0.25">
      <c r="B217" t="s">
        <v>208</v>
      </c>
      <c r="C217" t="s">
        <v>1331</v>
      </c>
      <c r="D217" t="s">
        <v>1331</v>
      </c>
      <c r="E217" t="s">
        <v>1332</v>
      </c>
      <c r="F217" t="s">
        <v>1333</v>
      </c>
      <c r="G217" s="75">
        <v>0</v>
      </c>
      <c r="H217" t="s">
        <v>208</v>
      </c>
      <c r="I217" s="6">
        <v>0</v>
      </c>
      <c r="J217" s="78">
        <v>43437</v>
      </c>
      <c r="K217" s="78"/>
    </row>
    <row r="218" spans="2:11" x14ac:dyDescent="0.25">
      <c r="B218" t="s">
        <v>1036</v>
      </c>
      <c r="C218" t="s">
        <v>751</v>
      </c>
      <c r="D218" t="s">
        <v>751</v>
      </c>
      <c r="E218" t="s">
        <v>1334</v>
      </c>
      <c r="F218" t="s">
        <v>1335</v>
      </c>
      <c r="G218" s="75">
        <v>128280</v>
      </c>
      <c r="H218">
        <v>1.272</v>
      </c>
      <c r="I218" s="6">
        <v>3</v>
      </c>
      <c r="J218" s="78">
        <v>37648</v>
      </c>
      <c r="K218" s="78"/>
    </row>
    <row r="219" spans="2:11" x14ac:dyDescent="0.25">
      <c r="B219" t="s">
        <v>208</v>
      </c>
      <c r="C219" t="s">
        <v>751</v>
      </c>
      <c r="D219" t="s">
        <v>1336</v>
      </c>
      <c r="E219" t="s">
        <v>208</v>
      </c>
      <c r="F219" t="s">
        <v>208</v>
      </c>
      <c r="G219" s="75">
        <v>128280</v>
      </c>
      <c r="H219">
        <v>1.272</v>
      </c>
      <c r="I219" s="6">
        <v>3</v>
      </c>
      <c r="J219" s="78" t="s">
        <v>208</v>
      </c>
      <c r="K219" s="78"/>
    </row>
    <row r="220" spans="2:11" x14ac:dyDescent="0.25">
      <c r="B220" t="s">
        <v>208</v>
      </c>
      <c r="C220" t="s">
        <v>751</v>
      </c>
      <c r="D220" t="s">
        <v>1337</v>
      </c>
      <c r="E220" t="s">
        <v>1337</v>
      </c>
      <c r="F220" t="s">
        <v>1338</v>
      </c>
      <c r="G220" s="75">
        <v>128280</v>
      </c>
      <c r="H220">
        <v>1.272</v>
      </c>
      <c r="I220" s="6">
        <v>3</v>
      </c>
      <c r="J220" s="78">
        <v>37648</v>
      </c>
      <c r="K220" s="78"/>
    </row>
    <row r="221" spans="2:11" x14ac:dyDescent="0.25">
      <c r="B221" t="s">
        <v>208</v>
      </c>
      <c r="C221" t="s">
        <v>751</v>
      </c>
      <c r="D221" t="s">
        <v>1339</v>
      </c>
      <c r="E221" t="s">
        <v>1340</v>
      </c>
      <c r="F221" t="s">
        <v>1341</v>
      </c>
      <c r="G221" s="75">
        <v>128280</v>
      </c>
      <c r="H221">
        <v>1.272</v>
      </c>
      <c r="I221" s="6">
        <v>3</v>
      </c>
      <c r="J221" s="78">
        <v>37648</v>
      </c>
      <c r="K221" s="78"/>
    </row>
    <row r="222" spans="2:11" x14ac:dyDescent="0.25">
      <c r="B222" t="s">
        <v>208</v>
      </c>
      <c r="C222" t="s">
        <v>751</v>
      </c>
      <c r="D222" t="s">
        <v>1342</v>
      </c>
      <c r="E222" t="s">
        <v>1343</v>
      </c>
      <c r="F222" t="s">
        <v>1344</v>
      </c>
      <c r="G222" s="75">
        <v>128280</v>
      </c>
      <c r="H222">
        <v>1.272</v>
      </c>
      <c r="I222" s="6">
        <v>3</v>
      </c>
      <c r="J222" s="78">
        <v>37648</v>
      </c>
      <c r="K222" s="78"/>
    </row>
    <row r="223" spans="2:11" x14ac:dyDescent="0.25">
      <c r="B223" t="s">
        <v>208</v>
      </c>
      <c r="C223" t="s">
        <v>751</v>
      </c>
      <c r="D223" t="s">
        <v>1345</v>
      </c>
      <c r="E223" t="s">
        <v>1345</v>
      </c>
      <c r="F223" t="s">
        <v>1346</v>
      </c>
      <c r="G223" s="75">
        <v>128280</v>
      </c>
      <c r="H223">
        <v>1.272</v>
      </c>
      <c r="I223" s="6">
        <v>3</v>
      </c>
      <c r="J223" s="78">
        <v>37648</v>
      </c>
      <c r="K223" s="78"/>
    </row>
    <row r="224" spans="2:11" x14ac:dyDescent="0.25">
      <c r="B224" t="s">
        <v>208</v>
      </c>
      <c r="C224" t="s">
        <v>1347</v>
      </c>
      <c r="D224" t="s">
        <v>1347</v>
      </c>
      <c r="E224" t="s">
        <v>208</v>
      </c>
      <c r="F224" t="s">
        <v>208</v>
      </c>
      <c r="G224" s="75">
        <v>0</v>
      </c>
      <c r="H224">
        <v>8.1270000000000007</v>
      </c>
      <c r="I224" s="6">
        <v>1</v>
      </c>
      <c r="J224" s="78" t="s">
        <v>208</v>
      </c>
      <c r="K224" s="78"/>
    </row>
    <row r="225" spans="2:11" x14ac:dyDescent="0.25">
      <c r="B225" t="s">
        <v>208</v>
      </c>
      <c r="C225" t="s">
        <v>1347</v>
      </c>
      <c r="D225" t="s">
        <v>787</v>
      </c>
      <c r="E225" t="s">
        <v>998</v>
      </c>
      <c r="F225" t="s">
        <v>1348</v>
      </c>
      <c r="G225" s="75">
        <v>0</v>
      </c>
      <c r="H225">
        <v>8.1270000000000007</v>
      </c>
      <c r="I225" s="6">
        <v>1</v>
      </c>
      <c r="J225" s="78">
        <v>44279</v>
      </c>
      <c r="K225" s="78"/>
    </row>
    <row r="226" spans="2:11" x14ac:dyDescent="0.25">
      <c r="B226" t="s">
        <v>208</v>
      </c>
      <c r="C226" t="s">
        <v>1347</v>
      </c>
      <c r="D226" t="s">
        <v>1349</v>
      </c>
      <c r="E226" t="s">
        <v>208</v>
      </c>
      <c r="F226" t="s">
        <v>208</v>
      </c>
      <c r="G226" s="75">
        <v>0</v>
      </c>
      <c r="H226">
        <v>8.1270000000000007</v>
      </c>
      <c r="I226" s="6">
        <v>1</v>
      </c>
      <c r="J226" s="78" t="s">
        <v>208</v>
      </c>
      <c r="K226" s="78"/>
    </row>
    <row r="227" spans="2:11" x14ac:dyDescent="0.25">
      <c r="B227" t="s">
        <v>208</v>
      </c>
      <c r="C227" t="s">
        <v>1350</v>
      </c>
      <c r="D227" t="s">
        <v>1350</v>
      </c>
      <c r="E227" t="s">
        <v>208</v>
      </c>
      <c r="F227" t="s">
        <v>208</v>
      </c>
      <c r="G227" s="75">
        <v>1372023</v>
      </c>
      <c r="H227">
        <v>0.48199999999999998</v>
      </c>
      <c r="I227" s="6">
        <v>5</v>
      </c>
      <c r="J227" s="78" t="s">
        <v>208</v>
      </c>
      <c r="K227" s="78"/>
    </row>
    <row r="228" spans="2:11" x14ac:dyDescent="0.25">
      <c r="B228" t="s">
        <v>208</v>
      </c>
      <c r="C228" t="s">
        <v>1350</v>
      </c>
      <c r="D228" t="s">
        <v>1351</v>
      </c>
      <c r="E228" t="s">
        <v>208</v>
      </c>
      <c r="F228" t="s">
        <v>208</v>
      </c>
      <c r="G228" s="75">
        <v>1372023</v>
      </c>
      <c r="H228">
        <v>0.48199999999999998</v>
      </c>
      <c r="I228" s="6">
        <v>5</v>
      </c>
      <c r="J228" s="78" t="s">
        <v>208</v>
      </c>
      <c r="K228" s="78"/>
    </row>
    <row r="229" spans="2:11" x14ac:dyDescent="0.25">
      <c r="B229" t="s">
        <v>1036</v>
      </c>
      <c r="C229" t="s">
        <v>1350</v>
      </c>
      <c r="D229" t="s">
        <v>788</v>
      </c>
      <c r="E229" t="s">
        <v>999</v>
      </c>
      <c r="F229" t="s">
        <v>1352</v>
      </c>
      <c r="G229" s="75">
        <v>1372023</v>
      </c>
      <c r="H229">
        <v>0.48199999999999998</v>
      </c>
      <c r="I229" s="6">
        <v>5</v>
      </c>
      <c r="J229" s="78">
        <v>36893</v>
      </c>
      <c r="K229" s="78"/>
    </row>
    <row r="230" spans="2:11" x14ac:dyDescent="0.25">
      <c r="B230" t="s">
        <v>208</v>
      </c>
      <c r="C230" t="s">
        <v>1353</v>
      </c>
      <c r="D230" t="s">
        <v>1353</v>
      </c>
      <c r="E230" t="s">
        <v>208</v>
      </c>
      <c r="F230" t="s">
        <v>208</v>
      </c>
      <c r="G230" s="75">
        <v>304853</v>
      </c>
      <c r="H230">
        <v>1.8160000000000001</v>
      </c>
      <c r="I230" s="6">
        <v>2</v>
      </c>
      <c r="J230" s="78" t="s">
        <v>208</v>
      </c>
      <c r="K230" s="78"/>
    </row>
    <row r="231" spans="2:11" x14ac:dyDescent="0.25">
      <c r="B231" t="s">
        <v>1128</v>
      </c>
      <c r="C231" t="s">
        <v>1353</v>
      </c>
      <c r="D231" t="s">
        <v>463</v>
      </c>
      <c r="E231" t="s">
        <v>973</v>
      </c>
      <c r="F231" t="s">
        <v>1354</v>
      </c>
      <c r="G231" s="75">
        <v>304853</v>
      </c>
      <c r="H231">
        <v>1.8160000000000001</v>
      </c>
      <c r="I231" s="6">
        <v>2</v>
      </c>
      <c r="J231" s="78">
        <v>39748</v>
      </c>
      <c r="K231" s="78"/>
    </row>
    <row r="232" spans="2:11" x14ac:dyDescent="0.25">
      <c r="B232" t="s">
        <v>208</v>
      </c>
      <c r="C232" t="s">
        <v>1353</v>
      </c>
      <c r="D232" t="s">
        <v>1355</v>
      </c>
      <c r="E232" t="s">
        <v>208</v>
      </c>
      <c r="F232" t="s">
        <v>208</v>
      </c>
      <c r="G232" s="75">
        <v>304853</v>
      </c>
      <c r="H232">
        <v>1.8160000000000001</v>
      </c>
      <c r="I232" s="6">
        <v>2</v>
      </c>
      <c r="J232" s="78" t="s">
        <v>208</v>
      </c>
      <c r="K232" s="78"/>
    </row>
    <row r="233" spans="2:11" x14ac:dyDescent="0.25">
      <c r="B233" t="s">
        <v>1128</v>
      </c>
      <c r="C233" t="s">
        <v>1353</v>
      </c>
      <c r="D233" t="s">
        <v>1356</v>
      </c>
      <c r="E233" t="s">
        <v>499</v>
      </c>
      <c r="F233" t="s">
        <v>1357</v>
      </c>
      <c r="G233" s="75">
        <v>304853</v>
      </c>
      <c r="H233">
        <v>1.8160000000000001</v>
      </c>
      <c r="I233" s="6">
        <v>2</v>
      </c>
      <c r="J233" s="78">
        <v>39748</v>
      </c>
      <c r="K233" s="78"/>
    </row>
    <row r="234" spans="2:11" x14ac:dyDescent="0.25">
      <c r="B234" t="s">
        <v>208</v>
      </c>
      <c r="C234" t="s">
        <v>1353</v>
      </c>
      <c r="D234" t="s">
        <v>1358</v>
      </c>
      <c r="E234" t="s">
        <v>208</v>
      </c>
      <c r="F234" t="s">
        <v>208</v>
      </c>
      <c r="G234" s="75">
        <v>304853</v>
      </c>
      <c r="H234">
        <v>1.8160000000000001</v>
      </c>
      <c r="I234" s="6">
        <v>2</v>
      </c>
      <c r="J234" s="78" t="s">
        <v>208</v>
      </c>
      <c r="K234" s="78"/>
    </row>
    <row r="235" spans="2:11" x14ac:dyDescent="0.25">
      <c r="B235" t="s">
        <v>208</v>
      </c>
      <c r="C235" t="s">
        <v>1353</v>
      </c>
      <c r="D235" t="s">
        <v>1359</v>
      </c>
      <c r="E235" t="s">
        <v>1360</v>
      </c>
      <c r="F235" t="s">
        <v>1361</v>
      </c>
      <c r="G235" s="75">
        <v>304853</v>
      </c>
      <c r="H235">
        <v>1.8160000000000001</v>
      </c>
      <c r="I235" s="6">
        <v>2</v>
      </c>
      <c r="J235" s="78">
        <v>39748</v>
      </c>
      <c r="K235" s="78"/>
    </row>
    <row r="236" spans="2:11" x14ac:dyDescent="0.25">
      <c r="B236" t="s">
        <v>208</v>
      </c>
      <c r="C236" t="s">
        <v>1362</v>
      </c>
      <c r="D236" t="s">
        <v>1362</v>
      </c>
      <c r="E236" t="s">
        <v>208</v>
      </c>
      <c r="F236" t="s">
        <v>208</v>
      </c>
      <c r="G236" s="75">
        <v>166810</v>
      </c>
      <c r="H236" t="s">
        <v>208</v>
      </c>
      <c r="I236" s="6">
        <v>0</v>
      </c>
      <c r="J236" s="78" t="s">
        <v>208</v>
      </c>
      <c r="K236" s="78"/>
    </row>
    <row r="237" spans="2:11" x14ac:dyDescent="0.25">
      <c r="B237" t="s">
        <v>208</v>
      </c>
      <c r="C237" t="s">
        <v>1362</v>
      </c>
      <c r="D237" t="s">
        <v>1363</v>
      </c>
      <c r="E237" t="s">
        <v>208</v>
      </c>
      <c r="F237" t="s">
        <v>208</v>
      </c>
      <c r="G237" s="75">
        <v>166810</v>
      </c>
      <c r="H237" t="s">
        <v>208</v>
      </c>
      <c r="I237" s="6">
        <v>0</v>
      </c>
      <c r="J237" s="78" t="s">
        <v>208</v>
      </c>
      <c r="K237" s="78"/>
    </row>
    <row r="238" spans="2:11" x14ac:dyDescent="0.25">
      <c r="B238" t="s">
        <v>208</v>
      </c>
      <c r="C238" t="s">
        <v>1362</v>
      </c>
      <c r="D238" t="s">
        <v>1364</v>
      </c>
      <c r="E238" t="s">
        <v>1365</v>
      </c>
      <c r="F238" t="s">
        <v>1366</v>
      </c>
      <c r="G238" s="75">
        <v>166810</v>
      </c>
      <c r="H238" t="s">
        <v>208</v>
      </c>
      <c r="I238" s="6">
        <v>0</v>
      </c>
      <c r="J238" s="78">
        <v>37230</v>
      </c>
      <c r="K238" s="78"/>
    </row>
    <row r="239" spans="2:11" x14ac:dyDescent="0.25">
      <c r="B239" t="s">
        <v>208</v>
      </c>
      <c r="C239" t="s">
        <v>1362</v>
      </c>
      <c r="D239" t="s">
        <v>1367</v>
      </c>
      <c r="E239" t="s">
        <v>1367</v>
      </c>
      <c r="F239" t="s">
        <v>1368</v>
      </c>
      <c r="G239" s="75">
        <v>166810</v>
      </c>
      <c r="H239" t="s">
        <v>208</v>
      </c>
      <c r="I239" s="6">
        <v>0</v>
      </c>
      <c r="J239" s="78">
        <v>37230</v>
      </c>
      <c r="K239" s="78"/>
    </row>
    <row r="240" spans="2:11" x14ac:dyDescent="0.25">
      <c r="B240" t="s">
        <v>208</v>
      </c>
      <c r="C240" t="s">
        <v>1362</v>
      </c>
      <c r="D240" t="s">
        <v>1369</v>
      </c>
      <c r="E240" t="s">
        <v>1369</v>
      </c>
      <c r="F240" t="s">
        <v>1370</v>
      </c>
      <c r="G240" s="75">
        <v>166810</v>
      </c>
      <c r="H240" t="s">
        <v>208</v>
      </c>
      <c r="I240" s="6">
        <v>0</v>
      </c>
      <c r="J240" s="78">
        <v>37230</v>
      </c>
      <c r="K240" s="78"/>
    </row>
    <row r="241" spans="2:11" x14ac:dyDescent="0.25">
      <c r="B241" t="s">
        <v>208</v>
      </c>
      <c r="C241" t="s">
        <v>792</v>
      </c>
      <c r="D241" t="s">
        <v>792</v>
      </c>
      <c r="E241" t="s">
        <v>1371</v>
      </c>
      <c r="F241" t="s">
        <v>1372</v>
      </c>
      <c r="G241" s="75">
        <v>2857</v>
      </c>
      <c r="H241">
        <v>1.198</v>
      </c>
      <c r="I241" s="6">
        <v>3</v>
      </c>
      <c r="J241" s="78">
        <v>43776</v>
      </c>
      <c r="K241" s="78"/>
    </row>
    <row r="242" spans="2:11" x14ac:dyDescent="0.25">
      <c r="B242" t="s">
        <v>208</v>
      </c>
      <c r="C242" t="s">
        <v>1373</v>
      </c>
      <c r="D242" t="s">
        <v>1373</v>
      </c>
      <c r="E242" t="s">
        <v>1374</v>
      </c>
      <c r="F242" t="s">
        <v>1375</v>
      </c>
      <c r="G242" s="75">
        <v>38011</v>
      </c>
      <c r="H242" t="s">
        <v>208</v>
      </c>
      <c r="I242" s="6">
        <v>0</v>
      </c>
      <c r="J242" s="78">
        <v>40749</v>
      </c>
      <c r="K242" s="78"/>
    </row>
    <row r="243" spans="2:11" x14ac:dyDescent="0.25">
      <c r="B243" t="s">
        <v>208</v>
      </c>
      <c r="C243" t="s">
        <v>1376</v>
      </c>
      <c r="D243" t="s">
        <v>1376</v>
      </c>
      <c r="E243" t="s">
        <v>208</v>
      </c>
      <c r="F243" t="s">
        <v>208</v>
      </c>
      <c r="G243" s="75">
        <v>0</v>
      </c>
      <c r="H243" t="s">
        <v>208</v>
      </c>
      <c r="I243" s="6">
        <v>0</v>
      </c>
      <c r="J243" s="78"/>
      <c r="K243" s="78"/>
    </row>
    <row r="244" spans="2:11" x14ac:dyDescent="0.25">
      <c r="B244" t="s">
        <v>208</v>
      </c>
      <c r="C244" t="s">
        <v>1376</v>
      </c>
      <c r="D244" t="s">
        <v>1377</v>
      </c>
      <c r="E244" t="s">
        <v>208</v>
      </c>
      <c r="F244" t="s">
        <v>208</v>
      </c>
      <c r="G244" s="75">
        <v>0</v>
      </c>
      <c r="H244" t="s">
        <v>208</v>
      </c>
      <c r="I244" s="6">
        <v>0</v>
      </c>
      <c r="J244" s="78"/>
      <c r="K244" s="78"/>
    </row>
    <row r="245" spans="2:11" x14ac:dyDescent="0.25">
      <c r="B245" t="s">
        <v>208</v>
      </c>
      <c r="C245" t="s">
        <v>1378</v>
      </c>
      <c r="D245" t="s">
        <v>1378</v>
      </c>
      <c r="E245" t="s">
        <v>208</v>
      </c>
      <c r="F245" t="s">
        <v>208</v>
      </c>
      <c r="G245" s="75">
        <v>33627</v>
      </c>
      <c r="H245">
        <v>2.665</v>
      </c>
      <c r="I245" s="6">
        <v>1</v>
      </c>
      <c r="J245" s="78" t="s">
        <v>208</v>
      </c>
      <c r="K245" s="78"/>
    </row>
    <row r="246" spans="2:11" x14ac:dyDescent="0.25">
      <c r="B246" t="s">
        <v>208</v>
      </c>
      <c r="C246" t="s">
        <v>1378</v>
      </c>
      <c r="D246" t="s">
        <v>1379</v>
      </c>
      <c r="E246" t="s">
        <v>208</v>
      </c>
      <c r="F246" t="s">
        <v>208</v>
      </c>
      <c r="G246" s="75">
        <v>33627</v>
      </c>
      <c r="H246">
        <v>2.665</v>
      </c>
      <c r="I246" s="6">
        <v>1</v>
      </c>
      <c r="J246" s="78"/>
      <c r="K246" s="78"/>
    </row>
    <row r="247" spans="2:11" x14ac:dyDescent="0.25">
      <c r="B247" t="s">
        <v>208</v>
      </c>
      <c r="C247" t="s">
        <v>1378</v>
      </c>
      <c r="D247" t="s">
        <v>1380</v>
      </c>
      <c r="E247" t="s">
        <v>208</v>
      </c>
      <c r="F247" t="s">
        <v>208</v>
      </c>
      <c r="G247" s="75">
        <v>33627</v>
      </c>
      <c r="H247">
        <v>2.665</v>
      </c>
      <c r="I247" s="6">
        <v>1</v>
      </c>
      <c r="J247" s="78"/>
      <c r="K247" s="78"/>
    </row>
    <row r="248" spans="2:11" x14ac:dyDescent="0.25">
      <c r="B248" t="s">
        <v>208</v>
      </c>
      <c r="C248" t="s">
        <v>1378</v>
      </c>
      <c r="D248" t="s">
        <v>623</v>
      </c>
      <c r="E248" t="s">
        <v>989</v>
      </c>
      <c r="F248" t="s">
        <v>1381</v>
      </c>
      <c r="G248" s="75">
        <v>33627</v>
      </c>
      <c r="H248">
        <v>2.665</v>
      </c>
      <c r="I248" s="6">
        <v>1</v>
      </c>
      <c r="J248" s="78">
        <v>38467</v>
      </c>
      <c r="K248" s="78"/>
    </row>
    <row r="249" spans="2:11" x14ac:dyDescent="0.25">
      <c r="B249" t="s">
        <v>208</v>
      </c>
      <c r="C249" t="s">
        <v>1378</v>
      </c>
      <c r="D249" t="s">
        <v>1382</v>
      </c>
      <c r="E249" t="s">
        <v>208</v>
      </c>
      <c r="F249" t="s">
        <v>208</v>
      </c>
      <c r="G249" s="75">
        <v>33627</v>
      </c>
      <c r="H249">
        <v>2.665</v>
      </c>
      <c r="I249" s="6">
        <v>1</v>
      </c>
      <c r="J249" s="78"/>
      <c r="K249" s="78"/>
    </row>
    <row r="250" spans="2:11" x14ac:dyDescent="0.25">
      <c r="B250" t="s">
        <v>208</v>
      </c>
      <c r="C250" t="s">
        <v>1378</v>
      </c>
      <c r="D250" t="s">
        <v>1383</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1384</v>
      </c>
      <c r="E1" s="4"/>
    </row>
    <row r="2" spans="1:6" x14ac:dyDescent="0.25">
      <c r="A2" s="34" t="s">
        <v>227</v>
      </c>
    </row>
    <row r="3" spans="1:6" s="9" customFormat="1" x14ac:dyDescent="0.25"/>
    <row r="4" spans="1:6" s="2" customFormat="1" ht="30" x14ac:dyDescent="0.25">
      <c r="B4" s="1" t="s">
        <v>1385</v>
      </c>
      <c r="C4" s="2" t="s">
        <v>1386</v>
      </c>
      <c r="D4" s="2" t="s">
        <v>1387</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921</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1388</v>
      </c>
    </row>
    <row r="2" spans="1:9" x14ac:dyDescent="0.25">
      <c r="A2" s="34" t="s">
        <v>227</v>
      </c>
    </row>
    <row r="4" spans="1:9" ht="23.25" x14ac:dyDescent="0.25">
      <c r="B4" s="113" t="s">
        <v>1389</v>
      </c>
      <c r="C4" s="113" t="s">
        <v>1390</v>
      </c>
      <c r="D4" s="113" t="s">
        <v>1391</v>
      </c>
      <c r="E4" s="113" t="s">
        <v>1392</v>
      </c>
      <c r="F4" s="113" t="s">
        <v>1393</v>
      </c>
      <c r="G4" s="113" t="s">
        <v>1394</v>
      </c>
      <c r="H4" s="113" t="s">
        <v>1395</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1396</v>
      </c>
      <c r="F6" s="6">
        <v>1</v>
      </c>
      <c r="G6" s="6" t="s">
        <v>1397</v>
      </c>
      <c r="H6" s="6">
        <v>1</v>
      </c>
      <c r="I6" s="111" t="e">
        <f>SUMPRODUCT(--($B$5:$H$5&gt;0),$B$6:$H$6)</f>
        <v>#N/A</v>
      </c>
    </row>
    <row r="8" spans="1:9" s="2" customFormat="1" ht="45.75" x14ac:dyDescent="0.25">
      <c r="A8" s="63" t="s">
        <v>1398</v>
      </c>
      <c r="B8" s="112" t="s">
        <v>921</v>
      </c>
      <c r="C8" s="112" t="s">
        <v>923</v>
      </c>
      <c r="D8" s="112" t="s">
        <v>235</v>
      </c>
      <c r="E8" s="112" t="s">
        <v>1399</v>
      </c>
      <c r="F8" s="112" t="s">
        <v>237</v>
      </c>
      <c r="G8" s="112" t="s">
        <v>1400</v>
      </c>
      <c r="H8" s="112" t="s">
        <v>924</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1401</v>
      </c>
    </row>
    <row r="2" spans="1:8" x14ac:dyDescent="0.25">
      <c r="A2" s="34" t="s">
        <v>227</v>
      </c>
    </row>
    <row r="4" spans="1:8" x14ac:dyDescent="0.25">
      <c r="B4" t="s">
        <v>1402</v>
      </c>
    </row>
    <row r="5" spans="1:8" x14ac:dyDescent="0.25">
      <c r="B5" t="s">
        <v>1403</v>
      </c>
    </row>
    <row r="7" spans="1:8" x14ac:dyDescent="0.25">
      <c r="C7" s="321" t="s">
        <v>1404</v>
      </c>
      <c r="D7" s="321"/>
      <c r="E7" s="321"/>
      <c r="F7" s="322" t="s">
        <v>1405</v>
      </c>
      <c r="G7" s="322"/>
      <c r="H7" s="322"/>
    </row>
    <row r="8" spans="1:8" s="2" customFormat="1" ht="30" x14ac:dyDescent="0.25">
      <c r="B8" s="2" t="s">
        <v>1406</v>
      </c>
      <c r="C8" s="103" t="s">
        <v>1407</v>
      </c>
      <c r="D8" s="105" t="s">
        <v>1408</v>
      </c>
      <c r="E8" s="105" t="s">
        <v>1409</v>
      </c>
      <c r="F8" s="104" t="s">
        <v>1407</v>
      </c>
      <c r="G8" s="2" t="s">
        <v>1408</v>
      </c>
      <c r="H8" s="105" t="s">
        <v>1409</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2026-08-04T00:04:07Z</dcterms:modified>
  <cp:category>Electricity shopping</cp:category>
  <cp:contentStatus>Released</cp:contentStatus>
</cp:coreProperties>
</file>